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s101\Share\200350障害福祉課\22 福祉・介護職員等処遇改善加算\01_計画申請\R6届出案内\240327_【確定】事務処理手順及び様式例の提示について\01_国→県\"/>
    </mc:Choice>
  </mc:AlternateContent>
  <xr:revisionPtr revIDLastSave="0" documentId="13_ncr:101_{AA4FE2ED-67E6-4B0C-A9B4-0E7AD718D7F0}" xr6:coauthVersionLast="47" xr6:coauthVersionMax="47" xr10:uidLastSave="{00000000-0000-0000-0000-000000000000}"/>
  <bookViews>
    <workbookView xWindow="-108" yWindow="-108" windowWidth="34776" windowHeight="22536"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AK206" i="18"/>
  <c r="AB131" i="18"/>
  <c r="AB129" i="18"/>
  <c r="T60" i="18"/>
  <c r="T67" i="38"/>
  <c r="AW63" i="38"/>
  <c r="AW62" i="38"/>
  <c r="AW61" i="38"/>
  <c r="AK56" i="38"/>
  <c r="AC56" i="38"/>
  <c r="H53" i="38"/>
  <c r="L49" i="38"/>
  <c r="L50" i="38" s="1"/>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49" i="37"/>
  <c r="L50" i="37" s="1"/>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49" i="36"/>
  <c r="L50" i="36" s="1"/>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49" i="35"/>
  <c r="L50" i="35" s="1"/>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AW48" i="35"/>
  <c r="BE48" i="35" s="1"/>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W48" i="38" s="1"/>
  <c r="AH61" i="38"/>
  <c r="Q49" i="37"/>
  <c r="BA51" i="35"/>
  <c r="Q51" i="35"/>
  <c r="AW48" i="34" l="1"/>
  <c r="BE48" i="34" s="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AW48" i="37"/>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AW48" i="36"/>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AC51" i="36"/>
  <c r="AC52" i="36" s="1"/>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BE51" i="37" l="1"/>
  <c r="AC51" i="37"/>
  <c r="AC52" i="37" s="1"/>
  <c r="G51" i="34"/>
  <c r="G52" i="34" s="1"/>
  <c r="AS51" i="34"/>
  <c r="BI51" i="34" s="1"/>
  <c r="V50" i="34"/>
  <c r="G51" i="37"/>
  <c r="G52" i="37" s="1"/>
  <c r="AS51" i="37"/>
  <c r="BI51" i="37" s="1"/>
  <c r="G51" i="36"/>
  <c r="G52" i="36" s="1"/>
  <c r="AS51" i="36"/>
  <c r="BI51" i="36" s="1"/>
  <c r="V50" i="36"/>
  <c r="G52" i="35"/>
  <c r="V51" i="35"/>
  <c r="V52" i="35" s="1"/>
  <c r="V50" i="38"/>
  <c r="G51" i="38"/>
  <c r="AS51" i="38"/>
  <c r="BI51" i="38" s="1"/>
  <c r="Q52" i="37"/>
  <c r="Q52" i="36"/>
  <c r="Q52" i="34"/>
  <c r="V51" i="34"/>
  <c r="V52" i="34" s="1"/>
  <c r="V51" i="36" l="1"/>
  <c r="V52" i="36" s="1"/>
  <c r="V51" i="37"/>
  <c r="V52" i="37" s="1"/>
  <c r="G52" i="38"/>
  <c r="V51" i="38"/>
  <c r="V52" i="38" s="1"/>
  <c r="T67" i="29" l="1"/>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48" i="29"/>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48" i="28" l="1"/>
  <c r="AW60" i="28"/>
  <c r="AS60" i="28"/>
  <c r="AS32" i="28" s="1"/>
  <c r="CI3" i="28"/>
  <c r="Q50" i="28"/>
  <c r="BV51" i="28"/>
  <c r="CI6" i="28"/>
  <c r="L49" i="28"/>
  <c r="L50" i="28" s="1"/>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W48" i="20"/>
  <c r="AP57" i="21"/>
  <c r="BA48" i="21" s="1"/>
  <c r="AH57" i="21"/>
  <c r="Q49" i="21" s="1"/>
  <c r="AP62" i="21"/>
  <c r="CI8" i="21" s="1"/>
  <c r="AH62" i="21"/>
  <c r="AS48" i="20"/>
  <c r="L49" i="20"/>
  <c r="L50" i="20" s="1"/>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AW48" i="21"/>
  <c r="BE48" i="21" s="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L49" i="12"/>
  <c r="CI7" i="12"/>
  <c r="S143" i="18" s="1"/>
  <c r="AW48" i="12"/>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Q18" i="18" s="1"/>
  <c r="AW51" i="12"/>
  <c r="AC51" i="12"/>
  <c r="BE51" i="12"/>
  <c r="AM129" i="18"/>
  <c r="AK134" i="18" s="1"/>
  <c r="AK225" i="18" s="1"/>
  <c r="V50" i="12"/>
  <c r="S118" i="18" l="1"/>
  <c r="L52" i="12"/>
  <c r="T106" i="18"/>
  <c r="AK114" i="18" s="1"/>
  <c r="G52" i="12"/>
  <c r="V52" i="12"/>
  <c r="BI51" i="12"/>
  <c r="Q19" i="18" l="1"/>
  <c r="Q25" i="18" s="1"/>
  <c r="Y25" i="18" s="1"/>
  <c r="AK212" i="18" s="1"/>
  <c r="AK125" i="18"/>
  <c r="AK224" i="18" s="1"/>
  <c r="AK222" i="18"/>
  <c r="Q21" i="18"/>
  <c r="Y20" i="18"/>
  <c r="AK210" i="18" s="1"/>
  <c r="AC52" i="12"/>
  <c r="Y21" i="18" l="1"/>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00000000-0006-0000-0000-000001000000}">
      <text>
        <r>
          <rPr>
            <sz val="9"/>
            <color rgb="FF000000"/>
            <rFont val="MS P ゴシック"/>
            <family val="3"/>
            <charset val="128"/>
          </rPr>
          <t>別紙様式６－２に記入した内容に基づき、令和６年度の加算の見込額の合計が自動で表示されます。</t>
        </r>
      </text>
    </comment>
    <comment ref="Q19" authorId="0" shapeId="0" xr:uid="{00000000-0006-0000-0000-00000200000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00000000-0006-0000-0000-00000300000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00000000-0006-0000-0000-00000400000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00000000-0006-0000-0000-00000500000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00000000-0006-0000-0000-00000600000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00000000-0006-0000-0000-00000700000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00000000-0006-0000-0000-00000800000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00000000-0006-0000-0000-00000900000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00000000-0006-0000-0000-00000A00000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00000000-0006-0000-0000-00000B00000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00000000-0006-0000-0000-00000C00000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00000000-0006-0000-0000-00000D00000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00000000-0006-0000-0000-00000E00000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9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9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900-000003000000}">
      <text>
        <r>
          <rPr>
            <sz val="9"/>
            <color rgb="FF000000"/>
            <rFont val="MS P ゴシック"/>
            <family val="3"/>
            <charset val="128"/>
          </rPr>
          <t>必ずプルダウンで選択してください。</t>
        </r>
      </text>
    </comment>
    <comment ref="AE4" authorId="0" shapeId="0" xr:uid="{00000000-0006-0000-09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9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9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900-000007000000}">
      <text>
        <r>
          <rPr>
            <sz val="9"/>
            <color rgb="FF000000"/>
            <rFont val="MS P ゴシック"/>
            <family val="3"/>
            <charset val="128"/>
          </rPr>
          <t>４・５月に処遇Ⅰ、６月以降に処遇Ⅰ相当の加算区分を算定する場合は「１」</t>
        </r>
      </text>
    </comment>
    <comment ref="CI6" authorId="0" shapeId="0" xr:uid="{00000000-0006-0000-09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9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9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9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9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900-00000D000000}">
      <text>
        <r>
          <rPr>
            <sz val="9"/>
            <color rgb="FF000000"/>
            <rFont val="MS P ゴシック"/>
            <family val="3"/>
            <charset val="128"/>
          </rPr>
          <t>算定していない場合は、
「特定加算なし」を選択してください。</t>
        </r>
      </text>
    </comment>
    <comment ref="L9" authorId="0" shapeId="0" xr:uid="{00000000-0006-0000-0900-00000E000000}">
      <text>
        <r>
          <rPr>
            <sz val="9"/>
            <color rgb="FF000000"/>
            <rFont val="MS P ゴシック"/>
            <family val="3"/>
            <charset val="128"/>
          </rPr>
          <t>算定していない場合は、
「ベア加算なし」を選択してください。</t>
        </r>
      </text>
    </comment>
    <comment ref="V9" authorId="1" shapeId="0" xr:uid="{00000000-0006-0000-09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900-000010000000}">
      <text>
        <r>
          <rPr>
            <sz val="9"/>
            <color rgb="FF000000"/>
            <rFont val="MS P ゴシック"/>
            <family val="3"/>
            <charset val="128"/>
          </rPr>
          <t>キャリアパス要件Ⅴで「満たす」を選択していれば「１」</t>
        </r>
      </text>
    </comment>
    <comment ref="CI10" authorId="0" shapeId="0" xr:uid="{00000000-0006-0000-0900-000011000000}">
      <text>
        <r>
          <rPr>
            <sz val="9"/>
            <color rgb="FF000000"/>
            <rFont val="MS P ゴシック"/>
            <family val="3"/>
            <charset val="128"/>
          </rPr>
          <t>職場環境等要件の上位区分を「満たす」と選択していれば「１」</t>
        </r>
      </text>
    </comment>
    <comment ref="V12" authorId="1" shapeId="0" xr:uid="{00000000-0006-0000-09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900-000013000000}">
      <text>
        <r>
          <rPr>
            <sz val="9"/>
            <color rgb="FF000000"/>
            <rFont val="MS P ゴシック"/>
            <family val="3"/>
            <charset val="128"/>
          </rPr>
          <t>令和６年度の算定対象月を記入してください。</t>
        </r>
      </text>
    </comment>
    <comment ref="F15" authorId="0" shapeId="0" xr:uid="{00000000-0006-0000-09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9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9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9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9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9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900-00001A000000}">
      <text>
        <r>
          <rPr>
            <sz val="9"/>
            <color rgb="FF000000"/>
            <rFont val="MS P ゴシック"/>
            <family val="3"/>
            <charset val="128"/>
          </rPr>
          <t>小規模事業者等の特例で満たす場合も含む</t>
        </r>
      </text>
    </comment>
    <comment ref="AG37" authorId="0" shapeId="0" xr:uid="{00000000-0006-0000-09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9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9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9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900-00001F000000}">
      <text>
        <r>
          <rPr>
            <sz val="9"/>
            <color rgb="FF000000"/>
            <rFont val="MS P ゴシック"/>
            <family val="3"/>
            <charset val="128"/>
          </rPr>
          <t>「満たす」を選択した場合は、算定する加算の区分等を選択してください。</t>
        </r>
      </text>
    </comment>
    <comment ref="AL41" authorId="0" shapeId="0" xr:uid="{00000000-0006-0000-0900-000020000000}">
      <text>
        <r>
          <rPr>
            <sz val="9"/>
            <color rgb="FF000000"/>
            <rFont val="MS P ゴシック"/>
            <family val="3"/>
            <charset val="128"/>
          </rPr>
          <t>「満たす」を選択した場合は、算定する加算の区分等を選択してください。</t>
        </r>
      </text>
    </comment>
    <comment ref="B47" authorId="0" shapeId="0" xr:uid="{00000000-0006-0000-09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A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A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A00-000003000000}">
      <text>
        <r>
          <rPr>
            <sz val="9"/>
            <color rgb="FF000000"/>
            <rFont val="MS P ゴシック"/>
            <family val="3"/>
            <charset val="128"/>
          </rPr>
          <t>必ずプルダウンで選択してください。</t>
        </r>
      </text>
    </comment>
    <comment ref="AE4" authorId="0" shapeId="0" xr:uid="{00000000-0006-0000-0A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A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A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A00-000007000000}">
      <text>
        <r>
          <rPr>
            <sz val="9"/>
            <color rgb="FF000000"/>
            <rFont val="MS P ゴシック"/>
            <family val="3"/>
            <charset val="128"/>
          </rPr>
          <t>４・５月に処遇Ⅰ、６月以降に処遇Ⅰ相当の加算区分を算定する場合は「１」</t>
        </r>
      </text>
    </comment>
    <comment ref="CI6" authorId="0" shapeId="0" xr:uid="{00000000-0006-0000-0A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A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A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A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A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A00-00000D000000}">
      <text>
        <r>
          <rPr>
            <sz val="9"/>
            <color rgb="FF000000"/>
            <rFont val="MS P ゴシック"/>
            <family val="3"/>
            <charset val="128"/>
          </rPr>
          <t>算定していない場合は、
「特定加算なし」を選択してください。</t>
        </r>
      </text>
    </comment>
    <comment ref="L9" authorId="0" shapeId="0" xr:uid="{00000000-0006-0000-0A00-00000E000000}">
      <text>
        <r>
          <rPr>
            <sz val="9"/>
            <color rgb="FF000000"/>
            <rFont val="MS P ゴシック"/>
            <family val="3"/>
            <charset val="128"/>
          </rPr>
          <t>算定していない場合は、
「ベア加算なし」を選択してください。</t>
        </r>
      </text>
    </comment>
    <comment ref="V9" authorId="1" shapeId="0" xr:uid="{00000000-0006-0000-0A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A00-000010000000}">
      <text>
        <r>
          <rPr>
            <sz val="9"/>
            <color rgb="FF000000"/>
            <rFont val="MS P ゴシック"/>
            <family val="3"/>
            <charset val="128"/>
          </rPr>
          <t>キャリアパス要件Ⅴで「満たす」を選択していれば「１」</t>
        </r>
      </text>
    </comment>
    <comment ref="CI10" authorId="0" shapeId="0" xr:uid="{00000000-0006-0000-0A00-000011000000}">
      <text>
        <r>
          <rPr>
            <sz val="9"/>
            <color rgb="FF000000"/>
            <rFont val="MS P ゴシック"/>
            <family val="3"/>
            <charset val="128"/>
          </rPr>
          <t>職場環境等要件の上位区分を「満たす」と選択していれば「１」</t>
        </r>
      </text>
    </comment>
    <comment ref="V12" authorId="1" shapeId="0" xr:uid="{00000000-0006-0000-0A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A00-000013000000}">
      <text>
        <r>
          <rPr>
            <sz val="9"/>
            <color rgb="FF000000"/>
            <rFont val="MS P ゴシック"/>
            <family val="3"/>
            <charset val="128"/>
          </rPr>
          <t>令和６年度の算定対象月を記入してください。</t>
        </r>
      </text>
    </comment>
    <comment ref="F15" authorId="0" shapeId="0" xr:uid="{00000000-0006-0000-0A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A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A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A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A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A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A00-00001A000000}">
      <text>
        <r>
          <rPr>
            <sz val="9"/>
            <color rgb="FF000000"/>
            <rFont val="MS P ゴシック"/>
            <family val="3"/>
            <charset val="128"/>
          </rPr>
          <t>小規模事業者等の特例で満たす場合も含む</t>
        </r>
      </text>
    </comment>
    <comment ref="AG37" authorId="0" shapeId="0" xr:uid="{00000000-0006-0000-0A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A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A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A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A00-00001F000000}">
      <text>
        <r>
          <rPr>
            <sz val="9"/>
            <color rgb="FF000000"/>
            <rFont val="MS P ゴシック"/>
            <family val="3"/>
            <charset val="128"/>
          </rPr>
          <t>「満たす」を選択した場合は、算定する加算の区分等を選択してください。</t>
        </r>
      </text>
    </comment>
    <comment ref="AL41" authorId="0" shapeId="0" xr:uid="{00000000-0006-0000-0A00-000020000000}">
      <text>
        <r>
          <rPr>
            <sz val="9"/>
            <color rgb="FF000000"/>
            <rFont val="MS P ゴシック"/>
            <family val="3"/>
            <charset val="128"/>
          </rPr>
          <t>「満たす」を選択した場合は、算定する加算の区分等を選択してください。</t>
        </r>
      </text>
    </comment>
    <comment ref="B47" authorId="0" shapeId="0" xr:uid="{00000000-0006-0000-0A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1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1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100-000003000000}">
      <text>
        <r>
          <rPr>
            <sz val="9"/>
            <color rgb="FF000000"/>
            <rFont val="MS P ゴシック"/>
            <family val="3"/>
            <charset val="128"/>
          </rPr>
          <t>必ずプルダウンで選択してください。</t>
        </r>
      </text>
    </comment>
    <comment ref="AE4" authorId="0" shapeId="0" xr:uid="{00000000-0006-0000-01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1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1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100-000007000000}">
      <text>
        <r>
          <rPr>
            <sz val="9"/>
            <color rgb="FF000000"/>
            <rFont val="MS P ゴシック"/>
            <family val="3"/>
            <charset val="128"/>
          </rPr>
          <t>４・５月に処遇Ⅰ、６月以降に処遇Ⅰ相当の加算区分を算定する場合は「１」</t>
        </r>
      </text>
    </comment>
    <comment ref="CI6" authorId="0" shapeId="0" xr:uid="{00000000-0006-0000-01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1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1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1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1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100-00000D000000}">
      <text>
        <r>
          <rPr>
            <sz val="9"/>
            <color rgb="FF000000"/>
            <rFont val="MS P ゴシック"/>
            <family val="3"/>
            <charset val="128"/>
          </rPr>
          <t>算定していない場合は、
「特定加算なし」を選択してください。</t>
        </r>
      </text>
    </comment>
    <comment ref="L9" authorId="0" shapeId="0" xr:uid="{00000000-0006-0000-0100-00000E000000}">
      <text>
        <r>
          <rPr>
            <sz val="9"/>
            <color rgb="FF000000"/>
            <rFont val="MS P ゴシック"/>
            <family val="3"/>
            <charset val="128"/>
          </rPr>
          <t>算定していない場合は、
「ベア加算なし」を選択してください。</t>
        </r>
      </text>
    </comment>
    <comment ref="V9" authorId="1" shapeId="0" xr:uid="{00000000-0006-0000-01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100-000010000000}">
      <text>
        <r>
          <rPr>
            <sz val="9"/>
            <color rgb="FF000000"/>
            <rFont val="MS P ゴシック"/>
            <family val="3"/>
            <charset val="128"/>
          </rPr>
          <t>キャリアパス要件Ⅴで「満たす」を選択していれば「１」</t>
        </r>
      </text>
    </comment>
    <comment ref="CI10" authorId="0" shapeId="0" xr:uid="{00000000-0006-0000-0100-000011000000}">
      <text>
        <r>
          <rPr>
            <sz val="9"/>
            <color rgb="FF000000"/>
            <rFont val="MS P ゴシック"/>
            <family val="3"/>
            <charset val="128"/>
          </rPr>
          <t>職場環境等要件の上位区分を「満たす」と選択していれば「１」</t>
        </r>
      </text>
    </comment>
    <comment ref="V12" authorId="1" shapeId="0" xr:uid="{00000000-0006-0000-01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100-000013000000}">
      <text>
        <r>
          <rPr>
            <sz val="9"/>
            <color rgb="FF000000"/>
            <rFont val="MS P ゴシック"/>
            <family val="3"/>
            <charset val="128"/>
          </rPr>
          <t>令和６年度の算定対象月を記入してください。</t>
        </r>
      </text>
    </comment>
    <comment ref="F15" authorId="0" shapeId="0" xr:uid="{00000000-0006-0000-01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1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1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1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1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1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100-00001A000000}">
      <text>
        <r>
          <rPr>
            <sz val="9"/>
            <color rgb="FF000000"/>
            <rFont val="MS P ゴシック"/>
            <family val="3"/>
            <charset val="128"/>
          </rPr>
          <t>小規模事業者等の特例で満たす場合も含む</t>
        </r>
      </text>
    </comment>
    <comment ref="AG37" authorId="0" shapeId="0" xr:uid="{00000000-0006-0000-01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1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100-00001D000000}">
      <text>
        <r>
          <rPr>
            <sz val="8"/>
            <color indexed="81"/>
            <rFont val="MS P ゴシック"/>
            <family val="3"/>
            <charset val="128"/>
          </rPr>
          <t>左記に「対象加算なし」が表示された場合は、「満たす」を選択し、「対象加算なし」を選択してください。</t>
        </r>
      </text>
    </comment>
    <comment ref="AL40" authorId="1" shapeId="0" xr:uid="{00000000-0006-0000-0100-00001E000000}">
      <text>
        <r>
          <rPr>
            <sz val="8"/>
            <color indexed="81"/>
            <rFont val="MS P ゴシック"/>
            <family val="3"/>
            <charset val="128"/>
          </rPr>
          <t>左記に「対象加算なし」が表示された場合は、「満たす」を選択し、「対象加算なし」を選択してください。</t>
        </r>
      </text>
    </comment>
    <comment ref="AD41" authorId="0" shapeId="0" xr:uid="{00000000-0006-0000-0100-00001F000000}">
      <text>
        <r>
          <rPr>
            <sz val="9"/>
            <color rgb="FF000000"/>
            <rFont val="MS P ゴシック"/>
            <family val="3"/>
            <charset val="128"/>
          </rPr>
          <t>「満たす」を選択した場合は、算定する加算の区分等を選択してください。</t>
        </r>
      </text>
    </comment>
    <comment ref="AL41" authorId="0" shapeId="0" xr:uid="{00000000-0006-0000-0100-000020000000}">
      <text>
        <r>
          <rPr>
            <sz val="9"/>
            <color rgb="FF000000"/>
            <rFont val="MS P ゴシック"/>
            <family val="3"/>
            <charset val="128"/>
          </rPr>
          <t>「満たす」を選択した場合は、算定する加算の区分等を選択してください。</t>
        </r>
      </text>
    </comment>
    <comment ref="B47" authorId="0" shapeId="0" xr:uid="{00000000-0006-0000-01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2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2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200-000003000000}">
      <text>
        <r>
          <rPr>
            <sz val="9"/>
            <color rgb="FF000000"/>
            <rFont val="MS P ゴシック"/>
            <family val="3"/>
            <charset val="128"/>
          </rPr>
          <t>必ずプルダウンで選択してください。</t>
        </r>
      </text>
    </comment>
    <comment ref="AE4" authorId="0" shapeId="0" xr:uid="{00000000-0006-0000-02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2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2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200-000007000000}">
      <text>
        <r>
          <rPr>
            <sz val="9"/>
            <color rgb="FF000000"/>
            <rFont val="MS P ゴシック"/>
            <family val="3"/>
            <charset val="128"/>
          </rPr>
          <t>４・５月に処遇Ⅰ、６月以降に処遇Ⅰ相当の加算区分を算定する場合は「１」</t>
        </r>
      </text>
    </comment>
    <comment ref="CI6" authorId="0" shapeId="0" xr:uid="{00000000-0006-0000-02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2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2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2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2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200-00000D000000}">
      <text>
        <r>
          <rPr>
            <sz val="9"/>
            <color rgb="FF000000"/>
            <rFont val="MS P ゴシック"/>
            <family val="3"/>
            <charset val="128"/>
          </rPr>
          <t>算定していない場合は、
「特定加算なし」を選択してください。</t>
        </r>
      </text>
    </comment>
    <comment ref="L9" authorId="0" shapeId="0" xr:uid="{00000000-0006-0000-0200-00000E000000}">
      <text>
        <r>
          <rPr>
            <sz val="9"/>
            <color rgb="FF000000"/>
            <rFont val="MS P ゴシック"/>
            <family val="3"/>
            <charset val="128"/>
          </rPr>
          <t>算定していない場合は、
「ベア加算なし」を選択してください。</t>
        </r>
      </text>
    </comment>
    <comment ref="V9" authorId="1" shapeId="0" xr:uid="{00000000-0006-0000-02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200-000010000000}">
      <text>
        <r>
          <rPr>
            <sz val="9"/>
            <color rgb="FF000000"/>
            <rFont val="MS P ゴシック"/>
            <family val="3"/>
            <charset val="128"/>
          </rPr>
          <t>キャリアパス要件Ⅴで「満たす」を選択していれば「１」</t>
        </r>
      </text>
    </comment>
    <comment ref="CI10" authorId="0" shapeId="0" xr:uid="{00000000-0006-0000-0200-000011000000}">
      <text>
        <r>
          <rPr>
            <sz val="9"/>
            <color rgb="FF000000"/>
            <rFont val="MS P ゴシック"/>
            <family val="3"/>
            <charset val="128"/>
          </rPr>
          <t>職場環境等要件の上位区分を「満たす」と選択していれば「１」</t>
        </r>
      </text>
    </comment>
    <comment ref="V12" authorId="1" shapeId="0" xr:uid="{00000000-0006-0000-02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200-000013000000}">
      <text>
        <r>
          <rPr>
            <sz val="9"/>
            <color rgb="FF000000"/>
            <rFont val="MS P ゴシック"/>
            <family val="3"/>
            <charset val="128"/>
          </rPr>
          <t>令和６年度の算定対象月を記入してください。</t>
        </r>
      </text>
    </comment>
    <comment ref="F15" authorId="0" shapeId="0" xr:uid="{00000000-0006-0000-02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2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2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2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2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2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200-00001A000000}">
      <text>
        <r>
          <rPr>
            <sz val="9"/>
            <color rgb="FF000000"/>
            <rFont val="MS P ゴシック"/>
            <family val="3"/>
            <charset val="128"/>
          </rPr>
          <t>小規模事業者等の特例で満たす場合も含む</t>
        </r>
      </text>
    </comment>
    <comment ref="AG37" authorId="0" shapeId="0" xr:uid="{00000000-0006-0000-02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2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200-00001D000000}">
      <text>
        <r>
          <rPr>
            <sz val="8"/>
            <color indexed="81"/>
            <rFont val="MS P ゴシック"/>
            <family val="3"/>
            <charset val="128"/>
          </rPr>
          <t>左記に「対象加算なし」が表示された場合は、「満たす」を選択し、「対象加算なし」を選択してください。</t>
        </r>
      </text>
    </comment>
    <comment ref="AL40" authorId="1" shapeId="0" xr:uid="{00000000-0006-0000-0200-00001E000000}">
      <text>
        <r>
          <rPr>
            <sz val="8"/>
            <color indexed="81"/>
            <rFont val="MS P ゴシック"/>
            <family val="3"/>
            <charset val="128"/>
          </rPr>
          <t>左記に「対象加算なし」が表示された場合は、「満たす」を選択し、「対象加算なし」を選択してください。</t>
        </r>
      </text>
    </comment>
    <comment ref="AD41" authorId="0" shapeId="0" xr:uid="{00000000-0006-0000-0200-00001F000000}">
      <text>
        <r>
          <rPr>
            <sz val="9"/>
            <color rgb="FF000000"/>
            <rFont val="MS P ゴシック"/>
            <family val="3"/>
            <charset val="128"/>
          </rPr>
          <t>「満たす」を選択した場合は、算定する加算の区分等を選択してください。</t>
        </r>
      </text>
    </comment>
    <comment ref="AL41" authorId="0" shapeId="0" xr:uid="{00000000-0006-0000-0200-000020000000}">
      <text>
        <r>
          <rPr>
            <sz val="9"/>
            <color rgb="FF000000"/>
            <rFont val="MS P ゴシック"/>
            <family val="3"/>
            <charset val="128"/>
          </rPr>
          <t>「満たす」を選択した場合は、算定する加算の区分等を選択してください。</t>
        </r>
      </text>
    </comment>
    <comment ref="B47" authorId="0" shapeId="0" xr:uid="{00000000-0006-0000-02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3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3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300-000003000000}">
      <text>
        <r>
          <rPr>
            <sz val="9"/>
            <color rgb="FF000000"/>
            <rFont val="MS P ゴシック"/>
            <family val="3"/>
            <charset val="128"/>
          </rPr>
          <t>必ずプルダウンで選択してください。</t>
        </r>
      </text>
    </comment>
    <comment ref="AE4" authorId="0" shapeId="0" xr:uid="{00000000-0006-0000-03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3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3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300-000007000000}">
      <text>
        <r>
          <rPr>
            <sz val="9"/>
            <color rgb="FF000000"/>
            <rFont val="MS P ゴシック"/>
            <family val="3"/>
            <charset val="128"/>
          </rPr>
          <t>４・５月に処遇Ⅰ、６月以降に処遇Ⅰ相当の加算区分を算定する場合は「１」</t>
        </r>
      </text>
    </comment>
    <comment ref="CI6" authorId="0" shapeId="0" xr:uid="{00000000-0006-0000-03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3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3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3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3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300-00000D000000}">
      <text>
        <r>
          <rPr>
            <sz val="9"/>
            <color rgb="FF000000"/>
            <rFont val="MS P ゴシック"/>
            <family val="3"/>
            <charset val="128"/>
          </rPr>
          <t>算定していない場合は、
「特定加算なし」を選択してください。</t>
        </r>
      </text>
    </comment>
    <comment ref="L9" authorId="0" shapeId="0" xr:uid="{00000000-0006-0000-0300-00000E000000}">
      <text>
        <r>
          <rPr>
            <sz val="9"/>
            <color rgb="FF000000"/>
            <rFont val="MS P ゴシック"/>
            <family val="3"/>
            <charset val="128"/>
          </rPr>
          <t>算定していない場合は、
「ベア加算なし」を選択してください。</t>
        </r>
      </text>
    </comment>
    <comment ref="V9" authorId="1" shapeId="0" xr:uid="{00000000-0006-0000-03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300-000010000000}">
      <text>
        <r>
          <rPr>
            <sz val="9"/>
            <color rgb="FF000000"/>
            <rFont val="MS P ゴシック"/>
            <family val="3"/>
            <charset val="128"/>
          </rPr>
          <t>キャリアパス要件Ⅴで「満たす」を選択していれば「１」</t>
        </r>
      </text>
    </comment>
    <comment ref="CI10" authorId="0" shapeId="0" xr:uid="{00000000-0006-0000-0300-000011000000}">
      <text>
        <r>
          <rPr>
            <sz val="9"/>
            <color rgb="FF000000"/>
            <rFont val="MS P ゴシック"/>
            <family val="3"/>
            <charset val="128"/>
          </rPr>
          <t>職場環境等要件の上位区分を「満たす」と選択していれば「１」</t>
        </r>
      </text>
    </comment>
    <comment ref="V12" authorId="1" shapeId="0" xr:uid="{00000000-0006-0000-03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300-000013000000}">
      <text>
        <r>
          <rPr>
            <sz val="9"/>
            <color rgb="FF000000"/>
            <rFont val="MS P ゴシック"/>
            <family val="3"/>
            <charset val="128"/>
          </rPr>
          <t>令和６年度の算定対象月を記入してください。</t>
        </r>
      </text>
    </comment>
    <comment ref="F15" authorId="0" shapeId="0" xr:uid="{00000000-0006-0000-03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3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3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3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3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3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300-00001A000000}">
      <text>
        <r>
          <rPr>
            <sz val="9"/>
            <color rgb="FF000000"/>
            <rFont val="MS P ゴシック"/>
            <family val="3"/>
            <charset val="128"/>
          </rPr>
          <t>小規模事業者等の特例で満たす場合も含む</t>
        </r>
      </text>
    </comment>
    <comment ref="AG37" authorId="0" shapeId="0" xr:uid="{00000000-0006-0000-03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3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3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3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300-00001F000000}">
      <text>
        <r>
          <rPr>
            <sz val="9"/>
            <color rgb="FF000000"/>
            <rFont val="MS P ゴシック"/>
            <family val="3"/>
            <charset val="128"/>
          </rPr>
          <t>「満たす」を選択した場合は、算定する加算の区分等を選択してください。</t>
        </r>
      </text>
    </comment>
    <comment ref="AL41" authorId="0" shapeId="0" xr:uid="{00000000-0006-0000-0300-000020000000}">
      <text>
        <r>
          <rPr>
            <sz val="9"/>
            <color rgb="FF000000"/>
            <rFont val="MS P ゴシック"/>
            <family val="3"/>
            <charset val="128"/>
          </rPr>
          <t>「満たす」を選択した場合は、算定する加算の区分等を選択してください。</t>
        </r>
      </text>
    </comment>
    <comment ref="B47" authorId="0" shapeId="0" xr:uid="{00000000-0006-0000-03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4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4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400-000003000000}">
      <text>
        <r>
          <rPr>
            <sz val="9"/>
            <color rgb="FF000000"/>
            <rFont val="MS P ゴシック"/>
            <family val="3"/>
            <charset val="128"/>
          </rPr>
          <t>必ずプルダウンで選択してください。</t>
        </r>
      </text>
    </comment>
    <comment ref="AE4" authorId="0" shapeId="0" xr:uid="{00000000-0006-0000-04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4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4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400-000007000000}">
      <text>
        <r>
          <rPr>
            <sz val="9"/>
            <color rgb="FF000000"/>
            <rFont val="MS P ゴシック"/>
            <family val="3"/>
            <charset val="128"/>
          </rPr>
          <t>４・５月に処遇Ⅰ、６月以降に処遇Ⅰ相当の加算区分を算定する場合は「１」</t>
        </r>
      </text>
    </comment>
    <comment ref="CI6" authorId="0" shapeId="0" xr:uid="{00000000-0006-0000-04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4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4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4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4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400-00000D000000}">
      <text>
        <r>
          <rPr>
            <sz val="9"/>
            <color rgb="FF000000"/>
            <rFont val="MS P ゴシック"/>
            <family val="3"/>
            <charset val="128"/>
          </rPr>
          <t>算定していない場合は、
「特定加算なし」を選択してください。</t>
        </r>
      </text>
    </comment>
    <comment ref="L9" authorId="0" shapeId="0" xr:uid="{00000000-0006-0000-0400-00000E000000}">
      <text>
        <r>
          <rPr>
            <sz val="9"/>
            <color rgb="FF000000"/>
            <rFont val="MS P ゴシック"/>
            <family val="3"/>
            <charset val="128"/>
          </rPr>
          <t>算定していない場合は、
「ベア加算なし」を選択してください。</t>
        </r>
      </text>
    </comment>
    <comment ref="V9" authorId="1" shapeId="0" xr:uid="{00000000-0006-0000-04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400-000010000000}">
      <text>
        <r>
          <rPr>
            <sz val="9"/>
            <color rgb="FF000000"/>
            <rFont val="MS P ゴシック"/>
            <family val="3"/>
            <charset val="128"/>
          </rPr>
          <t>キャリアパス要件Ⅴで「満たす」を選択していれば「１」</t>
        </r>
      </text>
    </comment>
    <comment ref="CI10" authorId="0" shapeId="0" xr:uid="{00000000-0006-0000-0400-000011000000}">
      <text>
        <r>
          <rPr>
            <sz val="9"/>
            <color rgb="FF000000"/>
            <rFont val="MS P ゴシック"/>
            <family val="3"/>
            <charset val="128"/>
          </rPr>
          <t>職場環境等要件の上位区分を「満たす」と選択していれば「１」</t>
        </r>
      </text>
    </comment>
    <comment ref="V12" authorId="1" shapeId="0" xr:uid="{00000000-0006-0000-04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400-000013000000}">
      <text>
        <r>
          <rPr>
            <sz val="9"/>
            <color rgb="FF000000"/>
            <rFont val="MS P ゴシック"/>
            <family val="3"/>
            <charset val="128"/>
          </rPr>
          <t>令和６年度の算定対象月を記入してください。</t>
        </r>
      </text>
    </comment>
    <comment ref="F15" authorId="0" shapeId="0" xr:uid="{00000000-0006-0000-04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4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4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4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4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4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400-00001A000000}">
      <text>
        <r>
          <rPr>
            <sz val="9"/>
            <color rgb="FF000000"/>
            <rFont val="MS P ゴシック"/>
            <family val="3"/>
            <charset val="128"/>
          </rPr>
          <t>小規模事業者等の特例で満たす場合も含む</t>
        </r>
      </text>
    </comment>
    <comment ref="AG37" authorId="0" shapeId="0" xr:uid="{00000000-0006-0000-04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4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4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4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400-00001F000000}">
      <text>
        <r>
          <rPr>
            <sz val="9"/>
            <color rgb="FF000000"/>
            <rFont val="MS P ゴシック"/>
            <family val="3"/>
            <charset val="128"/>
          </rPr>
          <t>「満たす」を選択した場合は、算定する加算の区分等を選択してください。</t>
        </r>
      </text>
    </comment>
    <comment ref="AL41" authorId="0" shapeId="0" xr:uid="{00000000-0006-0000-0400-000020000000}">
      <text>
        <r>
          <rPr>
            <sz val="9"/>
            <color rgb="FF000000"/>
            <rFont val="MS P ゴシック"/>
            <family val="3"/>
            <charset val="128"/>
          </rPr>
          <t>「満たす」を選択した場合は、算定する加算の区分等を選択してください。</t>
        </r>
      </text>
    </comment>
    <comment ref="B47" authorId="0" shapeId="0" xr:uid="{00000000-0006-0000-04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5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5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500-000003000000}">
      <text>
        <r>
          <rPr>
            <sz val="9"/>
            <color rgb="FF000000"/>
            <rFont val="MS P ゴシック"/>
            <family val="3"/>
            <charset val="128"/>
          </rPr>
          <t>必ずプルダウンで選択してください。</t>
        </r>
      </text>
    </comment>
    <comment ref="AE4" authorId="0" shapeId="0" xr:uid="{00000000-0006-0000-05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5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5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500-000007000000}">
      <text>
        <r>
          <rPr>
            <sz val="9"/>
            <color rgb="FF000000"/>
            <rFont val="MS P ゴシック"/>
            <family val="3"/>
            <charset val="128"/>
          </rPr>
          <t>４・５月に処遇Ⅰ、６月以降に処遇Ⅰ相当の加算区分を算定する場合は「１」</t>
        </r>
      </text>
    </comment>
    <comment ref="CI6" authorId="0" shapeId="0" xr:uid="{00000000-0006-0000-05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5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5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5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5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500-00000D000000}">
      <text>
        <r>
          <rPr>
            <sz val="9"/>
            <color rgb="FF000000"/>
            <rFont val="MS P ゴシック"/>
            <family val="3"/>
            <charset val="128"/>
          </rPr>
          <t>算定していない場合は、
「特定加算なし」を選択してください。</t>
        </r>
      </text>
    </comment>
    <comment ref="L9" authorId="0" shapeId="0" xr:uid="{00000000-0006-0000-0500-00000E000000}">
      <text>
        <r>
          <rPr>
            <sz val="9"/>
            <color rgb="FF000000"/>
            <rFont val="MS P ゴシック"/>
            <family val="3"/>
            <charset val="128"/>
          </rPr>
          <t>算定していない場合は、
「ベア加算なし」を選択してください。</t>
        </r>
      </text>
    </comment>
    <comment ref="V9" authorId="1" shapeId="0" xr:uid="{00000000-0006-0000-05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500-000010000000}">
      <text>
        <r>
          <rPr>
            <sz val="9"/>
            <color rgb="FF000000"/>
            <rFont val="MS P ゴシック"/>
            <family val="3"/>
            <charset val="128"/>
          </rPr>
          <t>キャリアパス要件Ⅴで「満たす」を選択していれば「１」</t>
        </r>
      </text>
    </comment>
    <comment ref="CI10" authorId="0" shapeId="0" xr:uid="{00000000-0006-0000-0500-000011000000}">
      <text>
        <r>
          <rPr>
            <sz val="9"/>
            <color rgb="FF000000"/>
            <rFont val="MS P ゴシック"/>
            <family val="3"/>
            <charset val="128"/>
          </rPr>
          <t>職場環境等要件の上位区分を「満たす」と選択していれば「１」</t>
        </r>
      </text>
    </comment>
    <comment ref="V12" authorId="1" shapeId="0" xr:uid="{00000000-0006-0000-05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500-000013000000}">
      <text>
        <r>
          <rPr>
            <sz val="9"/>
            <color rgb="FF000000"/>
            <rFont val="MS P ゴシック"/>
            <family val="3"/>
            <charset val="128"/>
          </rPr>
          <t>令和６年度の算定対象月を記入してください。</t>
        </r>
      </text>
    </comment>
    <comment ref="F15" authorId="0" shapeId="0" xr:uid="{00000000-0006-0000-05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5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5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5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5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5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500-00001A000000}">
      <text>
        <r>
          <rPr>
            <sz val="9"/>
            <color rgb="FF000000"/>
            <rFont val="MS P ゴシック"/>
            <family val="3"/>
            <charset val="128"/>
          </rPr>
          <t>小規模事業者等の特例で満たす場合も含む</t>
        </r>
      </text>
    </comment>
    <comment ref="AG37" authorId="0" shapeId="0" xr:uid="{00000000-0006-0000-05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5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5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5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500-00001F000000}">
      <text>
        <r>
          <rPr>
            <sz val="9"/>
            <color rgb="FF000000"/>
            <rFont val="MS P ゴシック"/>
            <family val="3"/>
            <charset val="128"/>
          </rPr>
          <t>「満たす」を選択した場合は、算定する加算の区分等を選択してください。</t>
        </r>
      </text>
    </comment>
    <comment ref="AL41" authorId="0" shapeId="0" xr:uid="{00000000-0006-0000-0500-000020000000}">
      <text>
        <r>
          <rPr>
            <sz val="9"/>
            <color rgb="FF000000"/>
            <rFont val="MS P ゴシック"/>
            <family val="3"/>
            <charset val="128"/>
          </rPr>
          <t>「満たす」を選択した場合は、算定する加算の区分等を選択してください。</t>
        </r>
      </text>
    </comment>
    <comment ref="B47" authorId="0" shapeId="0" xr:uid="{00000000-0006-0000-05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6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6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600-000003000000}">
      <text>
        <r>
          <rPr>
            <sz val="9"/>
            <color rgb="FF000000"/>
            <rFont val="MS P ゴシック"/>
            <family val="3"/>
            <charset val="128"/>
          </rPr>
          <t>必ずプルダウンで選択してください。</t>
        </r>
      </text>
    </comment>
    <comment ref="AE4" authorId="0" shapeId="0" xr:uid="{00000000-0006-0000-06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6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6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600-000007000000}">
      <text>
        <r>
          <rPr>
            <sz val="9"/>
            <color rgb="FF000000"/>
            <rFont val="MS P ゴシック"/>
            <family val="3"/>
            <charset val="128"/>
          </rPr>
          <t>４・５月に処遇Ⅰ、６月以降に処遇Ⅰ相当の加算区分を算定する場合は「１」</t>
        </r>
      </text>
    </comment>
    <comment ref="CI6" authorId="0" shapeId="0" xr:uid="{00000000-0006-0000-06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6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6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6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6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600-00000D000000}">
      <text>
        <r>
          <rPr>
            <sz val="9"/>
            <color rgb="FF000000"/>
            <rFont val="MS P ゴシック"/>
            <family val="3"/>
            <charset val="128"/>
          </rPr>
          <t>算定していない場合は、
「特定加算なし」を選択してください。</t>
        </r>
      </text>
    </comment>
    <comment ref="L9" authorId="0" shapeId="0" xr:uid="{00000000-0006-0000-0600-00000E000000}">
      <text>
        <r>
          <rPr>
            <sz val="9"/>
            <color rgb="FF000000"/>
            <rFont val="MS P ゴシック"/>
            <family val="3"/>
            <charset val="128"/>
          </rPr>
          <t>算定していない場合は、
「ベア加算なし」を選択してください。</t>
        </r>
      </text>
    </comment>
    <comment ref="V9" authorId="1" shapeId="0" xr:uid="{00000000-0006-0000-06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600-000010000000}">
      <text>
        <r>
          <rPr>
            <sz val="9"/>
            <color rgb="FF000000"/>
            <rFont val="MS P ゴシック"/>
            <family val="3"/>
            <charset val="128"/>
          </rPr>
          <t>キャリアパス要件Ⅴで「満たす」を選択していれば「１」</t>
        </r>
      </text>
    </comment>
    <comment ref="CI10" authorId="0" shapeId="0" xr:uid="{00000000-0006-0000-0600-000011000000}">
      <text>
        <r>
          <rPr>
            <sz val="9"/>
            <color rgb="FF000000"/>
            <rFont val="MS P ゴシック"/>
            <family val="3"/>
            <charset val="128"/>
          </rPr>
          <t>職場環境等要件の上位区分を「満たす」と選択していれば「１」</t>
        </r>
      </text>
    </comment>
    <comment ref="V12" authorId="1" shapeId="0" xr:uid="{00000000-0006-0000-06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600-000013000000}">
      <text>
        <r>
          <rPr>
            <sz val="9"/>
            <color rgb="FF000000"/>
            <rFont val="MS P ゴシック"/>
            <family val="3"/>
            <charset val="128"/>
          </rPr>
          <t>令和６年度の算定対象月を記入してください。</t>
        </r>
      </text>
    </comment>
    <comment ref="F15" authorId="0" shapeId="0" xr:uid="{00000000-0006-0000-06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6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6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6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6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6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600-00001A000000}">
      <text>
        <r>
          <rPr>
            <sz val="9"/>
            <color rgb="FF000000"/>
            <rFont val="MS P ゴシック"/>
            <family val="3"/>
            <charset val="128"/>
          </rPr>
          <t>小規模事業者等の特例で満たす場合も含む</t>
        </r>
      </text>
    </comment>
    <comment ref="AG37" authorId="0" shapeId="0" xr:uid="{00000000-0006-0000-06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6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6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6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600-00001F000000}">
      <text>
        <r>
          <rPr>
            <sz val="9"/>
            <color rgb="FF000000"/>
            <rFont val="MS P ゴシック"/>
            <family val="3"/>
            <charset val="128"/>
          </rPr>
          <t>「満たす」を選択した場合は、算定する加算の区分等を選択してください。</t>
        </r>
      </text>
    </comment>
    <comment ref="AL41" authorId="0" shapeId="0" xr:uid="{00000000-0006-0000-0600-000020000000}">
      <text>
        <r>
          <rPr>
            <sz val="9"/>
            <color rgb="FF000000"/>
            <rFont val="MS P ゴシック"/>
            <family val="3"/>
            <charset val="128"/>
          </rPr>
          <t>「満たす」を選択した場合は、算定する加算の区分等を選択してください。</t>
        </r>
      </text>
    </comment>
    <comment ref="B47" authorId="0" shapeId="0" xr:uid="{00000000-0006-0000-06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7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7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700-000003000000}">
      <text>
        <r>
          <rPr>
            <sz val="9"/>
            <color rgb="FF000000"/>
            <rFont val="MS P ゴシック"/>
            <family val="3"/>
            <charset val="128"/>
          </rPr>
          <t>必ずプルダウンで選択してください。</t>
        </r>
      </text>
    </comment>
    <comment ref="AE4" authorId="0" shapeId="0" xr:uid="{00000000-0006-0000-07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7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7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700-000007000000}">
      <text>
        <r>
          <rPr>
            <sz val="9"/>
            <color rgb="FF000000"/>
            <rFont val="MS P ゴシック"/>
            <family val="3"/>
            <charset val="128"/>
          </rPr>
          <t>４・５月に処遇Ⅰ、６月以降に処遇Ⅰ相当の加算区分を算定する場合は「１」</t>
        </r>
      </text>
    </comment>
    <comment ref="CI6" authorId="0" shapeId="0" xr:uid="{00000000-0006-0000-07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7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7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7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7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700-00000D000000}">
      <text>
        <r>
          <rPr>
            <sz val="9"/>
            <color rgb="FF000000"/>
            <rFont val="MS P ゴシック"/>
            <family val="3"/>
            <charset val="128"/>
          </rPr>
          <t>算定していない場合は、
「特定加算なし」を選択してください。</t>
        </r>
      </text>
    </comment>
    <comment ref="L9" authorId="0" shapeId="0" xr:uid="{00000000-0006-0000-0700-00000E000000}">
      <text>
        <r>
          <rPr>
            <sz val="9"/>
            <color rgb="FF000000"/>
            <rFont val="MS P ゴシック"/>
            <family val="3"/>
            <charset val="128"/>
          </rPr>
          <t>算定していない場合は、
「ベア加算なし」を選択してください。</t>
        </r>
      </text>
    </comment>
    <comment ref="V9" authorId="1" shapeId="0" xr:uid="{00000000-0006-0000-07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700-000010000000}">
      <text>
        <r>
          <rPr>
            <sz val="9"/>
            <color rgb="FF000000"/>
            <rFont val="MS P ゴシック"/>
            <family val="3"/>
            <charset val="128"/>
          </rPr>
          <t>キャリアパス要件Ⅴで「満たす」を選択していれば「１」</t>
        </r>
      </text>
    </comment>
    <comment ref="CI10" authorId="0" shapeId="0" xr:uid="{00000000-0006-0000-0700-000011000000}">
      <text>
        <r>
          <rPr>
            <sz val="9"/>
            <color rgb="FF000000"/>
            <rFont val="MS P ゴシック"/>
            <family val="3"/>
            <charset val="128"/>
          </rPr>
          <t>職場環境等要件の上位区分を「満たす」と選択していれば「１」</t>
        </r>
      </text>
    </comment>
    <comment ref="V12" authorId="1" shapeId="0" xr:uid="{00000000-0006-0000-07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700-000013000000}">
      <text>
        <r>
          <rPr>
            <sz val="9"/>
            <color rgb="FF000000"/>
            <rFont val="MS P ゴシック"/>
            <family val="3"/>
            <charset val="128"/>
          </rPr>
          <t>令和６年度の算定対象月を記入してください。</t>
        </r>
      </text>
    </comment>
    <comment ref="F15" authorId="0" shapeId="0" xr:uid="{00000000-0006-0000-07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7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7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7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7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7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700-00001A000000}">
      <text>
        <r>
          <rPr>
            <sz val="9"/>
            <color rgb="FF000000"/>
            <rFont val="MS P ゴシック"/>
            <family val="3"/>
            <charset val="128"/>
          </rPr>
          <t>小規模事業者等の特例で満たす場合も含む</t>
        </r>
      </text>
    </comment>
    <comment ref="AG37" authorId="0" shapeId="0" xr:uid="{00000000-0006-0000-07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7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7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7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700-00001F000000}">
      <text>
        <r>
          <rPr>
            <sz val="9"/>
            <color rgb="FF000000"/>
            <rFont val="MS P ゴシック"/>
            <family val="3"/>
            <charset val="128"/>
          </rPr>
          <t>「満たす」を選択した場合は、算定する加算の区分等を選択してください。</t>
        </r>
      </text>
    </comment>
    <comment ref="AL41" authorId="0" shapeId="0" xr:uid="{00000000-0006-0000-0700-000020000000}">
      <text>
        <r>
          <rPr>
            <sz val="9"/>
            <color rgb="FF000000"/>
            <rFont val="MS P ゴシック"/>
            <family val="3"/>
            <charset val="128"/>
          </rPr>
          <t>「満たす」を選択した場合は、算定する加算の区分等を選択してください。</t>
        </r>
      </text>
    </comment>
    <comment ref="B47" authorId="0" shapeId="0" xr:uid="{00000000-0006-0000-07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00000000-0006-0000-0800-00000100000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0000000-0006-0000-0800-000002000000}">
      <text>
        <r>
          <rPr>
            <sz val="9"/>
            <color rgb="FF000000"/>
            <rFont val="MS P ゴシック"/>
            <family val="3"/>
            <charset val="128"/>
          </rPr>
          <t>令和５年度にベア加算を算定し、令和６年４・５月にも継続してベア加算を算定する場合「１」</t>
        </r>
      </text>
    </comment>
    <comment ref="Y4" authorId="0" shapeId="0" xr:uid="{00000000-0006-0000-0800-000003000000}">
      <text>
        <r>
          <rPr>
            <sz val="9"/>
            <color rgb="FF000000"/>
            <rFont val="MS P ゴシック"/>
            <family val="3"/>
            <charset val="128"/>
          </rPr>
          <t>必ずプルダウンで選択してください。</t>
        </r>
      </text>
    </comment>
    <comment ref="AE4" authorId="0" shapeId="0" xr:uid="{00000000-0006-0000-0800-00000400000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xr:uid="{00000000-0006-0000-0800-00000500000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000000-0006-0000-0800-00000600000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0000000-0006-0000-0800-000007000000}">
      <text>
        <r>
          <rPr>
            <sz val="9"/>
            <color rgb="FF000000"/>
            <rFont val="MS P ゴシック"/>
            <family val="3"/>
            <charset val="128"/>
          </rPr>
          <t>４・５月に処遇Ⅰ、６月以降に処遇Ⅰ相当の加算区分を算定する場合は「１」</t>
        </r>
      </text>
    </comment>
    <comment ref="CI6" authorId="0" shapeId="0" xr:uid="{00000000-0006-0000-0800-00000800000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0000000-0006-0000-0800-00000900000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0000000-0006-0000-0800-00000A0000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000000-0006-0000-0800-00000B00000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0000000-0006-0000-0800-00000C00000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00000000-0006-0000-0800-00000D000000}">
      <text>
        <r>
          <rPr>
            <sz val="9"/>
            <color rgb="FF000000"/>
            <rFont val="MS P ゴシック"/>
            <family val="3"/>
            <charset val="128"/>
          </rPr>
          <t>算定していない場合は、
「特定加算なし」を選択してください。</t>
        </r>
      </text>
    </comment>
    <comment ref="L9" authorId="0" shapeId="0" xr:uid="{00000000-0006-0000-0800-00000E000000}">
      <text>
        <r>
          <rPr>
            <sz val="9"/>
            <color rgb="FF000000"/>
            <rFont val="MS P ゴシック"/>
            <family val="3"/>
            <charset val="128"/>
          </rPr>
          <t>算定していない場合は、
「ベア加算なし」を選択してください。</t>
        </r>
      </text>
    </comment>
    <comment ref="V9" authorId="1" shapeId="0" xr:uid="{00000000-0006-0000-0800-00000F000000}">
      <text>
        <r>
          <rPr>
            <sz val="9"/>
            <color indexed="81"/>
            <rFont val="MS P ゴシック"/>
            <family val="3"/>
            <charset val="128"/>
          </rPr>
          <t>「新加算Ⅱ」が表示され、加算率が「エラー」と表示された場合は「新加算Ⅰ」と読み替えること。</t>
        </r>
      </text>
    </comment>
    <comment ref="CI9" authorId="0" shapeId="0" xr:uid="{00000000-0006-0000-0800-000010000000}">
      <text>
        <r>
          <rPr>
            <sz val="9"/>
            <color rgb="FF000000"/>
            <rFont val="MS P ゴシック"/>
            <family val="3"/>
            <charset val="128"/>
          </rPr>
          <t>キャリアパス要件Ⅴで「満たす」を選択していれば「１」</t>
        </r>
      </text>
    </comment>
    <comment ref="CI10" authorId="0" shapeId="0" xr:uid="{00000000-0006-0000-0800-000011000000}">
      <text>
        <r>
          <rPr>
            <sz val="9"/>
            <color rgb="FF000000"/>
            <rFont val="MS P ゴシック"/>
            <family val="3"/>
            <charset val="128"/>
          </rPr>
          <t>職場環境等要件の上位区分を「満たす」と選択していれば「１」</t>
        </r>
      </text>
    </comment>
    <comment ref="V12" authorId="1" shapeId="0" xr:uid="{00000000-0006-0000-0800-000012000000}">
      <text>
        <r>
          <rPr>
            <sz val="9"/>
            <color indexed="81"/>
            <rFont val="MS P ゴシック"/>
            <family val="3"/>
            <charset val="128"/>
          </rPr>
          <t>「新加算Ⅱ」が表示され、加算率が「エラー」と表示された場合は「新加算Ⅰ」と読み替えること。</t>
        </r>
      </text>
    </comment>
    <comment ref="B13" authorId="0" shapeId="0" xr:uid="{00000000-0006-0000-0800-000013000000}">
      <text>
        <r>
          <rPr>
            <sz val="9"/>
            <color rgb="FF000000"/>
            <rFont val="MS P ゴシック"/>
            <family val="3"/>
            <charset val="128"/>
          </rPr>
          <t>令和６年度の算定対象月を記入してください。</t>
        </r>
      </text>
    </comment>
    <comment ref="F15" authorId="0" shapeId="0" xr:uid="{00000000-0006-0000-0800-00001400000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0000000-0006-0000-0800-000015000000}">
      <text>
        <r>
          <rPr>
            <sz val="9"/>
            <color indexed="81"/>
            <rFont val="MS P ゴシック"/>
            <family val="3"/>
            <charset val="128"/>
          </rPr>
          <t>「新加算Ⅱ」が表示され、加算率が「エラー」と表示された場合は「新加算Ⅰ」と読み替えること。</t>
        </r>
      </text>
    </comment>
    <comment ref="B18" authorId="0" shapeId="0" xr:uid="{00000000-0006-0000-0800-000016000000}">
      <text>
        <r>
          <rPr>
            <sz val="9"/>
            <color rgb="FF000000"/>
            <rFont val="MS P ゴシック"/>
            <family val="3"/>
            <charset val="128"/>
          </rPr>
          <t>右欄の選択肢（「満たす」など）から、
それぞれ当てはまるものを選択してください。</t>
        </r>
      </text>
    </comment>
    <comment ref="AL25" authorId="0" shapeId="0" xr:uid="{00000000-0006-0000-0800-00001700000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00000000-0006-0000-0800-0000180000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0000000-0006-0000-0800-00001900000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0000000-0006-0000-0800-00001A000000}">
      <text>
        <r>
          <rPr>
            <sz val="9"/>
            <color rgb="FF000000"/>
            <rFont val="MS P ゴシック"/>
            <family val="3"/>
            <charset val="128"/>
          </rPr>
          <t>小規模事業者等の特例で満たす場合も含む</t>
        </r>
      </text>
    </comment>
    <comment ref="AG37" authorId="0" shapeId="0" xr:uid="{00000000-0006-0000-0800-00001B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0000000-0006-0000-0800-00001C0000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000000-0006-0000-0800-00001D000000}">
      <text>
        <r>
          <rPr>
            <sz val="9"/>
            <color indexed="81"/>
            <rFont val="MS P ゴシック"/>
            <family val="3"/>
            <charset val="128"/>
          </rPr>
          <t>左記に「対象加算なし」が表示された場合は、「満たす」を選択し、「対象加算なし」を選択してください。</t>
        </r>
      </text>
    </comment>
    <comment ref="AL40" authorId="1" shapeId="0" xr:uid="{00000000-0006-0000-0800-00001E000000}">
      <text>
        <r>
          <rPr>
            <sz val="9"/>
            <color indexed="81"/>
            <rFont val="MS P ゴシック"/>
            <family val="3"/>
            <charset val="128"/>
          </rPr>
          <t>左記に「対象加算なし」が表示された場合は、「満たす」を選択し、「対象加算なし」を選択してください。</t>
        </r>
      </text>
    </comment>
    <comment ref="AD41" authorId="0" shapeId="0" xr:uid="{00000000-0006-0000-0800-00001F000000}">
      <text>
        <r>
          <rPr>
            <sz val="9"/>
            <color rgb="FF000000"/>
            <rFont val="MS P ゴシック"/>
            <family val="3"/>
            <charset val="128"/>
          </rPr>
          <t>「満たす」を選択した場合は、算定する加算の区分等を選択してください。</t>
        </r>
      </text>
    </comment>
    <comment ref="AL41" authorId="0" shapeId="0" xr:uid="{00000000-0006-0000-0800-000020000000}">
      <text>
        <r>
          <rPr>
            <sz val="9"/>
            <color rgb="FF000000"/>
            <rFont val="MS P ゴシック"/>
            <family val="3"/>
            <charset val="128"/>
          </rPr>
          <t>「満たす」を選択した場合は、算定する加算の区分等を選択してください。</t>
        </r>
      </text>
    </comment>
    <comment ref="B47" authorId="0" shapeId="0" xr:uid="{00000000-0006-0000-0800-00002100000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<sst xmlns="http://schemas.openxmlformats.org/spreadsheetml/2006/main" count="6514" uniqueCount="2397">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</sst>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6">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xr:uid="{00000000-0005-0000-0000-000000000000}"/>
    <cellStyle name="ハイパーリンク" xfId="5" builtinId="8"/>
    <cellStyle name="桁区切り" xfId="1" builtinId="6"/>
    <cellStyle name="桁区切り 2" xfId="3" xr:uid="{00000000-0005-0000-0000-000003000000}"/>
    <cellStyle name="標準" xfId="0" builtinId="0"/>
    <cellStyle name="標準 2" xfId="2" xr:uid="{00000000-0005-0000-0000-000005000000}"/>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2350" y="38115875"/>
              <a:ext cx="177800" cy="1803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2350" y="40868600"/>
              <a:ext cx="1778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2350" y="33597850"/>
              <a:ext cx="177800" cy="215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2350" y="39725600"/>
              <a:ext cx="17780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2350" y="13677900"/>
              <a:ext cx="177800" cy="16324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2350" y="39955487"/>
              <a:ext cx="177800" cy="9131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2350" y="33547050"/>
              <a:ext cx="17780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2350" y="22936200"/>
              <a:ext cx="177800" cy="2874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2350" y="25793700"/>
              <a:ext cx="17780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25500" y="28879800"/>
              <a:ext cx="177800" cy="26078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09725" y="267595"/>
          <a:ext cx="4527015" cy="12521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2350" y="40868600"/>
              <a:ext cx="177800" cy="532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3649900"/>
              <a:ext cx="21590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3649900"/>
              <a:ext cx="21590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281940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281940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281940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281940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281940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15240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97</xdr:row>
          <xdr:rowOff>15240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53340</xdr:rowOff>
        </xdr:from>
        <xdr:to>
          <xdr:col>13</xdr:col>
          <xdr:colOff>106680</xdr:colOff>
          <xdr:row>102</xdr:row>
          <xdr:rowOff>281940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104</xdr:row>
          <xdr:rowOff>205740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91440</xdr:colOff>
          <xdr:row>113</xdr:row>
          <xdr:rowOff>53340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243840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15240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167640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181</xdr:row>
          <xdr:rowOff>53340</xdr:rowOff>
        </xdr:from>
        <xdr:to>
          <xdr:col>6</xdr:col>
          <xdr:colOff>15240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205740</xdr:colOff>
          <xdr:row>182</xdr:row>
          <xdr:rowOff>15240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187</xdr:row>
          <xdr:rowOff>53340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167640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320040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689601" y="312682"/>
          <a:ext cx="7496051" cy="37343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45329" y="4240530"/>
              <a:ext cx="300994" cy="407670"/>
              <a:chOff x="4492279"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3"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35805" y="4794885"/>
              <a:ext cx="300990" cy="714375"/>
              <a:chOff x="4470327" y="4496273"/>
              <a:chExt cx="301792" cy="780079"/>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3"/>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35806" y="5655942"/>
              <a:ext cx="300996" cy="695326"/>
              <a:chOff x="4540193" y="5456629"/>
              <a:chExt cx="308372" cy="759868"/>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3" y="5456629"/>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43</xdr:row>
          <xdr:rowOff>0</xdr:rowOff>
        </xdr:from>
        <xdr:to>
          <xdr:col>29</xdr:col>
          <xdr:colOff>99060</xdr:colOff>
          <xdr:row>44</xdr:row>
          <xdr:rowOff>30480</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44</xdr:row>
          <xdr:rowOff>0</xdr:rowOff>
        </xdr:from>
        <xdr:to>
          <xdr:col>29</xdr:col>
          <xdr:colOff>99060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0169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92165" y="9033515"/>
              <a:ext cx="300990" cy="375280"/>
              <a:chOff x="5753695" y="8927979"/>
              <a:chExt cx="301792" cy="494781"/>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79"/>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96"/>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15240</xdr:rowOff>
        </xdr:from>
        <xdr:to>
          <xdr:col>29</xdr:col>
          <xdr:colOff>76200</xdr:colOff>
          <xdr:row>22</xdr:row>
          <xdr:rowOff>99060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53340</xdr:colOff>
          <xdr:row>27</xdr:row>
          <xdr:rowOff>30480</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106680</xdr:rowOff>
        </xdr:from>
        <xdr:to>
          <xdr:col>30</xdr:col>
          <xdr:colOff>53340</xdr:colOff>
          <xdr:row>30</xdr:row>
          <xdr:rowOff>137160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129540</xdr:rowOff>
        </xdr:from>
        <xdr:to>
          <xdr:col>30</xdr:col>
          <xdr:colOff>53340</xdr:colOff>
          <xdr:row>34</xdr:row>
          <xdr:rowOff>53340</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35806" y="6517005"/>
              <a:ext cx="300996" cy="683895"/>
              <a:chOff x="4540193" y="6438960"/>
              <a:chExt cx="308372" cy="779236"/>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3"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3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167640</xdr:colOff>
          <xdr:row>38</xdr:row>
          <xdr:rowOff>99060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91440</xdr:rowOff>
        </xdr:from>
        <xdr:to>
          <xdr:col>29</xdr:col>
          <xdr:colOff>144780</xdr:colOff>
          <xdr:row>46</xdr:row>
          <xdr:rowOff>22860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114300</xdr:rowOff>
        </xdr:from>
        <xdr:to>
          <xdr:col>39</xdr:col>
          <xdr:colOff>38100</xdr:colOff>
          <xdr:row>34</xdr:row>
          <xdr:rowOff>15240</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205740</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43</xdr:row>
          <xdr:rowOff>0</xdr:rowOff>
        </xdr:from>
        <xdr:to>
          <xdr:col>38</xdr:col>
          <xdr:colOff>53340</xdr:colOff>
          <xdr:row>46</xdr:row>
          <xdr:rowOff>129540</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91440</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4319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0446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53340</xdr:colOff>
          <xdr:row>20</xdr:row>
          <xdr:rowOff>0</xdr:rowOff>
        </xdr:from>
        <xdr:to>
          <xdr:col>38</xdr:col>
          <xdr:colOff>60960</xdr:colOff>
          <xdr:row>23</xdr:row>
          <xdr:rowOff>91440</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0234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53340</xdr:colOff>
          <xdr:row>27</xdr:row>
          <xdr:rowOff>53340</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9960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2159" y="8168645"/>
              <a:ext cx="224793" cy="695325"/>
              <a:chOff x="5754621" y="8167935"/>
              <a:chExt cx="225536" cy="793280"/>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65" y="8167935"/>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621" y="872214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4533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92162" y="4223384"/>
              <a:ext cx="300990" cy="424901"/>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0169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892196" y="5655945"/>
              <a:ext cx="30099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0169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4330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35837" y="7336134"/>
              <a:ext cx="224791" cy="714472"/>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0169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4533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45323" y="8164829"/>
              <a:ext cx="196215" cy="741051"/>
              <a:chOff x="4529954" y="8163154"/>
              <a:chExt cx="208417" cy="747983"/>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4" y="8163154"/>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4" y="8642620"/>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01689" y="7324718"/>
              <a:ext cx="300996" cy="716284"/>
              <a:chOff x="5801281" y="7286496"/>
              <a:chExt cx="301598" cy="71086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81"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6"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526228" y="249084"/>
          <a:ext cx="901878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892196" y="4804410"/>
              <a:ext cx="30099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892196" y="6517005"/>
              <a:ext cx="300990" cy="683895"/>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45329" y="4240530"/>
              <a:ext cx="300994" cy="407670"/>
              <a:chOff x="4492279"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3"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35805" y="4794885"/>
              <a:ext cx="300990" cy="714375"/>
              <a:chOff x="4470327" y="4496273"/>
              <a:chExt cx="301792" cy="780079"/>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3"/>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35806" y="5655942"/>
              <a:ext cx="300996" cy="695326"/>
              <a:chOff x="4540193" y="5456629"/>
              <a:chExt cx="308372" cy="759868"/>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3" y="5456629"/>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43</xdr:row>
          <xdr:rowOff>0</xdr:rowOff>
        </xdr:from>
        <xdr:to>
          <xdr:col>29</xdr:col>
          <xdr:colOff>99060</xdr:colOff>
          <xdr:row>44</xdr:row>
          <xdr:rowOff>30480</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44</xdr:row>
          <xdr:rowOff>0</xdr:rowOff>
        </xdr:from>
        <xdr:to>
          <xdr:col>29</xdr:col>
          <xdr:colOff>99060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0169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92165" y="9033515"/>
              <a:ext cx="300990" cy="375280"/>
              <a:chOff x="5753695" y="8927979"/>
              <a:chExt cx="301792" cy="494781"/>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79"/>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96"/>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15240</xdr:rowOff>
        </xdr:from>
        <xdr:to>
          <xdr:col>29</xdr:col>
          <xdr:colOff>76200</xdr:colOff>
          <xdr:row>22</xdr:row>
          <xdr:rowOff>99060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53340</xdr:colOff>
          <xdr:row>27</xdr:row>
          <xdr:rowOff>30480</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106680</xdr:rowOff>
        </xdr:from>
        <xdr:to>
          <xdr:col>30</xdr:col>
          <xdr:colOff>53340</xdr:colOff>
          <xdr:row>30</xdr:row>
          <xdr:rowOff>137160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129540</xdr:rowOff>
        </xdr:from>
        <xdr:to>
          <xdr:col>30</xdr:col>
          <xdr:colOff>53340</xdr:colOff>
          <xdr:row>34</xdr:row>
          <xdr:rowOff>53340</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35806" y="6517005"/>
              <a:ext cx="300996" cy="683895"/>
              <a:chOff x="4540193" y="6438960"/>
              <a:chExt cx="308372" cy="779236"/>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3"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3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167640</xdr:colOff>
          <xdr:row>38</xdr:row>
          <xdr:rowOff>99060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91440</xdr:rowOff>
        </xdr:from>
        <xdr:to>
          <xdr:col>29</xdr:col>
          <xdr:colOff>144780</xdr:colOff>
          <xdr:row>46</xdr:row>
          <xdr:rowOff>22860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114300</xdr:rowOff>
        </xdr:from>
        <xdr:to>
          <xdr:col>39</xdr:col>
          <xdr:colOff>38100</xdr:colOff>
          <xdr:row>34</xdr:row>
          <xdr:rowOff>15240</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205740</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43</xdr:row>
          <xdr:rowOff>0</xdr:rowOff>
        </xdr:from>
        <xdr:to>
          <xdr:col>38</xdr:col>
          <xdr:colOff>53340</xdr:colOff>
          <xdr:row>46</xdr:row>
          <xdr:rowOff>129540</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91440</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4319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0446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53340</xdr:colOff>
          <xdr:row>20</xdr:row>
          <xdr:rowOff>0</xdr:rowOff>
        </xdr:from>
        <xdr:to>
          <xdr:col>38</xdr:col>
          <xdr:colOff>60960</xdr:colOff>
          <xdr:row>23</xdr:row>
          <xdr:rowOff>91440</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0234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53340</xdr:colOff>
          <xdr:row>27</xdr:row>
          <xdr:rowOff>53340</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9960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2159" y="8168645"/>
              <a:ext cx="224793" cy="695325"/>
              <a:chOff x="5754621" y="8167935"/>
              <a:chExt cx="225536" cy="793280"/>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65" y="8167935"/>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621" y="872214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4533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92162" y="4223384"/>
              <a:ext cx="300990" cy="424901"/>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0169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892196" y="5655945"/>
              <a:ext cx="30099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0169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4330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35837" y="7336134"/>
              <a:ext cx="224791" cy="714472"/>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0169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4533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45323" y="8164829"/>
              <a:ext cx="196215" cy="741051"/>
              <a:chOff x="4529954" y="8163154"/>
              <a:chExt cx="208417" cy="747983"/>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4" y="8163154"/>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4" y="8642620"/>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01689" y="7324718"/>
              <a:ext cx="300996" cy="716284"/>
              <a:chOff x="5801281" y="7286496"/>
              <a:chExt cx="301598" cy="71086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81"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6"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526228" y="249084"/>
          <a:ext cx="901878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892196" y="4804410"/>
              <a:ext cx="30099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892196" y="6517005"/>
              <a:ext cx="300990" cy="683895"/>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54855" y="4240530"/>
              <a:ext cx="300990" cy="403860"/>
              <a:chOff x="4501773" y="3772540"/>
              <a:chExt cx="303832" cy="48691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45330" y="4794885"/>
              <a:ext cx="300990" cy="716280"/>
              <a:chOff x="4479758" y="4496261"/>
              <a:chExt cx="301792" cy="78010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1"/>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45330" y="5655943"/>
              <a:ext cx="300990" cy="698090"/>
              <a:chOff x="4549825" y="5456615"/>
              <a:chExt cx="308371" cy="76287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15240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0169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01690" y="9036467"/>
              <a:ext cx="300990" cy="375285"/>
              <a:chOff x="5763126" y="8931892"/>
              <a:chExt cx="301792" cy="494811"/>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9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129540</xdr:rowOff>
        </xdr:from>
        <xdr:to>
          <xdr:col>30</xdr:col>
          <xdr:colOff>60960</xdr:colOff>
          <xdr:row>34</xdr:row>
          <xdr:rowOff>53340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45330" y="6517005"/>
              <a:ext cx="300990" cy="685800"/>
              <a:chOff x="4549825" y="6438949"/>
              <a:chExt cx="308371" cy="779275"/>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9"/>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7"/>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91440</xdr:colOff>
          <xdr:row>42</xdr:row>
          <xdr:rowOff>91440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53340</xdr:colOff>
          <xdr:row>34</xdr:row>
          <xdr:rowOff>15240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129540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167640</xdr:colOff>
          <xdr:row>41</xdr:row>
          <xdr:rowOff>205740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129540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167640</xdr:rowOff>
        </xdr:from>
        <xdr:to>
          <xdr:col>30</xdr:col>
          <xdr:colOff>53340</xdr:colOff>
          <xdr:row>23</xdr:row>
          <xdr:rowOff>91440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4319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0446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91440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0234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53340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9960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05314" y="8169365"/>
              <a:ext cx="216767" cy="694590"/>
              <a:chOff x="5767600" y="8168758"/>
              <a:chExt cx="217602" cy="792433"/>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9" y="816875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0" y="872306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4533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01690" y="4221480"/>
              <a:ext cx="300990" cy="42672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0169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01690" y="5655945"/>
              <a:ext cx="30099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0169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4330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43308" y="7336211"/>
              <a:ext cx="229138" cy="71471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0169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4533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54011" y="8167707"/>
              <a:ext cx="196438" cy="742817"/>
              <a:chOff x="4538986" y="8166014"/>
              <a:chExt cx="208640"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8" y="8166014"/>
                <a:ext cx="207108"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6" y="8640700"/>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10082" y="7328875"/>
              <a:ext cx="300992" cy="712885"/>
              <a:chOff x="5809589" y="7290621"/>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26228" y="249084"/>
          <a:ext cx="901878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01690" y="4804410"/>
              <a:ext cx="30099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01690" y="6517005"/>
              <a:ext cx="300990" cy="68389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54855" y="4240530"/>
              <a:ext cx="300990" cy="407670"/>
              <a:chOff x="4501773" y="3772540"/>
              <a:chExt cx="303832" cy="486916"/>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4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45330" y="4794885"/>
              <a:ext cx="300990" cy="714375"/>
              <a:chOff x="4479758" y="4496258"/>
              <a:chExt cx="301792" cy="780107"/>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0"/>
                <a:ext cx="301792" cy="2481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45330" y="5655943"/>
              <a:ext cx="300990" cy="698090"/>
              <a:chOff x="4549825" y="5456615"/>
              <a:chExt cx="308371" cy="762870"/>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15240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0169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01690" y="9036467"/>
              <a:ext cx="300990" cy="375285"/>
              <a:chOff x="5763126" y="8931892"/>
              <a:chExt cx="301792" cy="494811"/>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9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2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129540</xdr:rowOff>
        </xdr:from>
        <xdr:to>
          <xdr:col>30</xdr:col>
          <xdr:colOff>60960</xdr:colOff>
          <xdr:row>34</xdr:row>
          <xdr:rowOff>53340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45330" y="6517005"/>
              <a:ext cx="300990" cy="683895"/>
              <a:chOff x="4549825" y="6438942"/>
              <a:chExt cx="308371" cy="779276"/>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2"/>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91440</xdr:colOff>
          <xdr:row>42</xdr:row>
          <xdr:rowOff>91440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53340</xdr:colOff>
          <xdr:row>34</xdr:row>
          <xdr:rowOff>15240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129540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167640</xdr:colOff>
          <xdr:row>41</xdr:row>
          <xdr:rowOff>205740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129540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167640</xdr:rowOff>
        </xdr:from>
        <xdr:to>
          <xdr:col>30</xdr:col>
          <xdr:colOff>53340</xdr:colOff>
          <xdr:row>23</xdr:row>
          <xdr:rowOff>91440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4319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0446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91440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0234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53340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9960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05314" y="8169365"/>
              <a:ext cx="216767" cy="694590"/>
              <a:chOff x="5767600" y="8168758"/>
              <a:chExt cx="217602" cy="792433"/>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29" y="816875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0" y="872306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4533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01690" y="4221480"/>
              <a:ext cx="300990" cy="42672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0169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01690" y="5655945"/>
              <a:ext cx="30099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0169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4330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43308" y="7334306"/>
              <a:ext cx="229138" cy="716619"/>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0169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4533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54011" y="8167707"/>
              <a:ext cx="196438" cy="742817"/>
              <a:chOff x="4538986" y="8166014"/>
              <a:chExt cx="208640" cy="749801"/>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18" y="8166014"/>
                <a:ext cx="207108"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6" y="8640700"/>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10082" y="7328875"/>
              <a:ext cx="300992" cy="712885"/>
              <a:chOff x="5809589" y="7290621"/>
              <a:chExt cx="301595" cy="70748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086173" y="325284"/>
          <a:ext cx="900163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01690" y="4804410"/>
              <a:ext cx="30099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0169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54855" y="4278630"/>
              <a:ext cx="300990" cy="407670"/>
              <a:chOff x="4501773" y="3772540"/>
              <a:chExt cx="303832" cy="486916"/>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4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3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45330" y="4832985"/>
              <a:ext cx="300990" cy="714375"/>
              <a:chOff x="4479758" y="4496258"/>
              <a:chExt cx="301792" cy="780107"/>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10"/>
                <a:ext cx="301792" cy="2481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45330" y="5694043"/>
              <a:ext cx="300990" cy="698090"/>
              <a:chOff x="4549825" y="5456615"/>
              <a:chExt cx="308371" cy="762870"/>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1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15240</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01690" y="56940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01690" y="9074567"/>
              <a:ext cx="300990" cy="375285"/>
              <a:chOff x="5763126" y="8931892"/>
              <a:chExt cx="301792" cy="494811"/>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89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2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22</xdr:row>
          <xdr:rowOff>99060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129540</xdr:rowOff>
        </xdr:from>
        <xdr:to>
          <xdr:col>30</xdr:col>
          <xdr:colOff>60960</xdr:colOff>
          <xdr:row>34</xdr:row>
          <xdr:rowOff>53340</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45330" y="6555105"/>
              <a:ext cx="300990" cy="683895"/>
              <a:chOff x="4549825" y="6438942"/>
              <a:chExt cx="308371" cy="779276"/>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2"/>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91440</xdr:colOff>
          <xdr:row>42</xdr:row>
          <xdr:rowOff>91440</xdr:rowOff>
        </xdr:from>
        <xdr:to>
          <xdr:col>29</xdr:col>
          <xdr:colOff>152400</xdr:colOff>
          <xdr:row>46</xdr:row>
          <xdr:rowOff>22860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53340</xdr:colOff>
          <xdr:row>34</xdr:row>
          <xdr:rowOff>15240</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129540</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167640</xdr:colOff>
          <xdr:row>41</xdr:row>
          <xdr:rowOff>205740</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129540</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167640</xdr:rowOff>
        </xdr:from>
        <xdr:to>
          <xdr:col>30</xdr:col>
          <xdr:colOff>53340</xdr:colOff>
          <xdr:row>23</xdr:row>
          <xdr:rowOff>91440</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43190" y="82077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04461" y="42595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91440</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02344" y="48294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53340</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99604" y="65504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05314" y="8207465"/>
              <a:ext cx="216767" cy="694590"/>
              <a:chOff x="5767600" y="8168758"/>
              <a:chExt cx="217602" cy="792433"/>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29" y="816875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0" y="872306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45330" y="82067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01690" y="4259580"/>
              <a:ext cx="300990" cy="42672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01690" y="48394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01690" y="5694045"/>
              <a:ext cx="30099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01690" y="65551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43301" y="73723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43308" y="7372406"/>
              <a:ext cx="229138" cy="716619"/>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01690" y="82067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45330" y="82067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54011" y="8205807"/>
              <a:ext cx="196438" cy="742817"/>
              <a:chOff x="4538986" y="8166014"/>
              <a:chExt cx="208640" cy="749801"/>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18" y="8166014"/>
                <a:ext cx="207108"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6" y="8640700"/>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10082" y="7366975"/>
              <a:ext cx="300992" cy="712885"/>
              <a:chOff x="5809589" y="7290621"/>
              <a:chExt cx="301595" cy="70748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526228" y="249084"/>
          <a:ext cx="9018782" cy="32608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01690" y="4842510"/>
              <a:ext cx="30099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01690" y="6555105"/>
              <a:ext cx="300990" cy="683895"/>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54855" y="4240530"/>
              <a:ext cx="300990" cy="407670"/>
              <a:chOff x="4501773" y="3772540"/>
              <a:chExt cx="303832" cy="486916"/>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40"/>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3"/>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45330" y="4794885"/>
              <a:ext cx="300990" cy="714375"/>
              <a:chOff x="4479758" y="4496258"/>
              <a:chExt cx="301792" cy="780107"/>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8"/>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0"/>
                <a:ext cx="301792" cy="24815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45330" y="5655943"/>
              <a:ext cx="300990" cy="698090"/>
              <a:chOff x="4549825" y="5456615"/>
              <a:chExt cx="308371" cy="762870"/>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3"/>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15240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0169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01690" y="9036467"/>
              <a:ext cx="300990" cy="375285"/>
              <a:chOff x="5763126" y="8931892"/>
              <a:chExt cx="301792" cy="494811"/>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9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2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129540</xdr:rowOff>
        </xdr:from>
        <xdr:to>
          <xdr:col>30</xdr:col>
          <xdr:colOff>60960</xdr:colOff>
          <xdr:row>34</xdr:row>
          <xdr:rowOff>53340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45330" y="6517005"/>
              <a:ext cx="300990" cy="683895"/>
              <a:chOff x="4549825" y="6438942"/>
              <a:chExt cx="308371" cy="779276"/>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2"/>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91440</xdr:colOff>
          <xdr:row>42</xdr:row>
          <xdr:rowOff>91440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53340</xdr:colOff>
          <xdr:row>34</xdr:row>
          <xdr:rowOff>15240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129540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167640</xdr:colOff>
          <xdr:row>41</xdr:row>
          <xdr:rowOff>205740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129540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167640</xdr:rowOff>
        </xdr:from>
        <xdr:to>
          <xdr:col>30</xdr:col>
          <xdr:colOff>53340</xdr:colOff>
          <xdr:row>23</xdr:row>
          <xdr:rowOff>91440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4319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0446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91440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0234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53340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9960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05314" y="8169365"/>
              <a:ext cx="216767" cy="694590"/>
              <a:chOff x="5767600" y="8168758"/>
              <a:chExt cx="217602" cy="792433"/>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29" y="816875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0" y="8723065"/>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4533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01690" y="4221480"/>
              <a:ext cx="300990" cy="42672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0169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01690" y="5655945"/>
              <a:ext cx="30099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0169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4330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43308" y="7334306"/>
              <a:ext cx="229138" cy="716619"/>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0169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4533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54011" y="8167707"/>
              <a:ext cx="196438" cy="742817"/>
              <a:chOff x="4538986" y="8166014"/>
              <a:chExt cx="208640" cy="749801"/>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18" y="8166014"/>
                <a:ext cx="207108"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6" y="8640700"/>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10082" y="7328875"/>
              <a:ext cx="300992" cy="712885"/>
              <a:chOff x="5809589" y="7290621"/>
              <a:chExt cx="301595" cy="70748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526228" y="249084"/>
          <a:ext cx="901878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01690" y="4804410"/>
              <a:ext cx="30099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0169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45329" y="4240530"/>
              <a:ext cx="300994" cy="407670"/>
              <a:chOff x="4492279"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3"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35805" y="4794885"/>
              <a:ext cx="300990" cy="714375"/>
              <a:chOff x="4470327" y="4496273"/>
              <a:chExt cx="301792" cy="780079"/>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3"/>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35806" y="5655942"/>
              <a:ext cx="300996" cy="695326"/>
              <a:chOff x="4540193" y="5456629"/>
              <a:chExt cx="308372" cy="759868"/>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29"/>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44</xdr:row>
          <xdr:rowOff>0</xdr:rowOff>
        </xdr:from>
        <xdr:to>
          <xdr:col>29</xdr:col>
          <xdr:colOff>99060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0169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92165" y="9033515"/>
              <a:ext cx="300990" cy="375280"/>
              <a:chOff x="5753695" y="8927979"/>
              <a:chExt cx="301792" cy="494781"/>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9"/>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96"/>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15240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53340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106680</xdr:rowOff>
        </xdr:from>
        <xdr:to>
          <xdr:col>30</xdr:col>
          <xdr:colOff>53340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129540</xdr:rowOff>
        </xdr:from>
        <xdr:to>
          <xdr:col>30</xdr:col>
          <xdr:colOff>53340</xdr:colOff>
          <xdr:row>34</xdr:row>
          <xdr:rowOff>53340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35806" y="6517005"/>
              <a:ext cx="300996" cy="683895"/>
              <a:chOff x="4540193" y="6438960"/>
              <a:chExt cx="308372" cy="779236"/>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167640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91440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114300</xdr:rowOff>
        </xdr:from>
        <xdr:to>
          <xdr:col>39</xdr:col>
          <xdr:colOff>38100</xdr:colOff>
          <xdr:row>34</xdr:row>
          <xdr:rowOff>15240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205740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43</xdr:row>
          <xdr:rowOff>0</xdr:rowOff>
        </xdr:from>
        <xdr:to>
          <xdr:col>38</xdr:col>
          <xdr:colOff>53340</xdr:colOff>
          <xdr:row>46</xdr:row>
          <xdr:rowOff>129540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91440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4319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0446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53340</xdr:colOff>
          <xdr:row>20</xdr:row>
          <xdr:rowOff>0</xdr:rowOff>
        </xdr:from>
        <xdr:to>
          <xdr:col>38</xdr:col>
          <xdr:colOff>60960</xdr:colOff>
          <xdr:row>23</xdr:row>
          <xdr:rowOff>91440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0234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53340</xdr:colOff>
          <xdr:row>27</xdr:row>
          <xdr:rowOff>53340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9960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2159" y="8168645"/>
              <a:ext cx="224793" cy="695325"/>
              <a:chOff x="5754621" y="8167935"/>
              <a:chExt cx="225536" cy="793280"/>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65" y="8167935"/>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21" y="872214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4533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9216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0169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89219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0169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4330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3583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0169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4533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45323" y="8164829"/>
              <a:ext cx="196215" cy="741051"/>
              <a:chOff x="4529954" y="8163154"/>
              <a:chExt cx="208417" cy="74798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4" y="8163154"/>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4" y="8642620"/>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01689" y="7324718"/>
              <a:ext cx="300996" cy="716284"/>
              <a:chOff x="5801281" y="7286496"/>
              <a:chExt cx="301598"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81"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6"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526228" y="249084"/>
          <a:ext cx="901878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89219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89219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45329" y="4240530"/>
              <a:ext cx="300994" cy="407670"/>
              <a:chOff x="4492279"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3"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35805" y="4794885"/>
              <a:ext cx="300990" cy="714375"/>
              <a:chOff x="4470327" y="4496273"/>
              <a:chExt cx="301792" cy="78007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3"/>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35806" y="5655942"/>
              <a:ext cx="300996" cy="695326"/>
              <a:chOff x="4540193" y="5456629"/>
              <a:chExt cx="308372" cy="759868"/>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3" y="5456629"/>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43</xdr:row>
          <xdr:rowOff>0</xdr:rowOff>
        </xdr:from>
        <xdr:to>
          <xdr:col>29</xdr:col>
          <xdr:colOff>99060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44</xdr:row>
          <xdr:rowOff>0</xdr:rowOff>
        </xdr:from>
        <xdr:to>
          <xdr:col>29</xdr:col>
          <xdr:colOff>99060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0169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92165" y="9033515"/>
              <a:ext cx="300990" cy="375280"/>
              <a:chOff x="5753695" y="8927979"/>
              <a:chExt cx="301792" cy="494781"/>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79"/>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96"/>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15240</xdr:rowOff>
        </xdr:from>
        <xdr:to>
          <xdr:col>29</xdr:col>
          <xdr:colOff>76200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53340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106680</xdr:rowOff>
        </xdr:from>
        <xdr:to>
          <xdr:col>30</xdr:col>
          <xdr:colOff>53340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129540</xdr:rowOff>
        </xdr:from>
        <xdr:to>
          <xdr:col>30</xdr:col>
          <xdr:colOff>53340</xdr:colOff>
          <xdr:row>34</xdr:row>
          <xdr:rowOff>53340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35806" y="6517005"/>
              <a:ext cx="300996" cy="683895"/>
              <a:chOff x="4540193" y="6438960"/>
              <a:chExt cx="308372" cy="779236"/>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3"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3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167640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91440</xdr:rowOff>
        </xdr:from>
        <xdr:to>
          <xdr:col>29</xdr:col>
          <xdr:colOff>144780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114300</xdr:rowOff>
        </xdr:from>
        <xdr:to>
          <xdr:col>39</xdr:col>
          <xdr:colOff>38100</xdr:colOff>
          <xdr:row>34</xdr:row>
          <xdr:rowOff>15240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205740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43</xdr:row>
          <xdr:rowOff>0</xdr:rowOff>
        </xdr:from>
        <xdr:to>
          <xdr:col>38</xdr:col>
          <xdr:colOff>53340</xdr:colOff>
          <xdr:row>46</xdr:row>
          <xdr:rowOff>129540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91440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4319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0446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53340</xdr:colOff>
          <xdr:row>20</xdr:row>
          <xdr:rowOff>0</xdr:rowOff>
        </xdr:from>
        <xdr:to>
          <xdr:col>38</xdr:col>
          <xdr:colOff>60960</xdr:colOff>
          <xdr:row>23</xdr:row>
          <xdr:rowOff>91440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0234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53340</xdr:colOff>
          <xdr:row>27</xdr:row>
          <xdr:rowOff>53340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9960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2159" y="8168645"/>
              <a:ext cx="224793" cy="695325"/>
              <a:chOff x="5754621" y="8167935"/>
              <a:chExt cx="225536" cy="793280"/>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65" y="8167935"/>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621" y="872214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4533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92162" y="4223384"/>
              <a:ext cx="300990" cy="424901"/>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0169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892196" y="5655945"/>
              <a:ext cx="30099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0169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4330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35837" y="7336134"/>
              <a:ext cx="224791" cy="714472"/>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0169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4533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45323" y="8164829"/>
              <a:ext cx="196215" cy="741051"/>
              <a:chOff x="4529954" y="8163154"/>
              <a:chExt cx="208417" cy="74798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4" y="8163154"/>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4" y="8642620"/>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01689" y="7324718"/>
              <a:ext cx="300996" cy="716284"/>
              <a:chOff x="5801281" y="7286496"/>
              <a:chExt cx="301598" cy="71086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81"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6"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526228" y="249084"/>
          <a:ext cx="901878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892196" y="4804410"/>
              <a:ext cx="30099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892196" y="6517005"/>
              <a:ext cx="300990" cy="683895"/>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45329" y="4240530"/>
              <a:ext cx="300994" cy="407670"/>
              <a:chOff x="4492279"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3"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35805" y="4794885"/>
              <a:ext cx="300990" cy="714375"/>
              <a:chOff x="4470327" y="4496273"/>
              <a:chExt cx="301792" cy="780079"/>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3"/>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35806" y="5655942"/>
              <a:ext cx="300996" cy="695326"/>
              <a:chOff x="4540193" y="5456629"/>
              <a:chExt cx="308372" cy="759868"/>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3" y="5456629"/>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43</xdr:row>
          <xdr:rowOff>0</xdr:rowOff>
        </xdr:from>
        <xdr:to>
          <xdr:col>29</xdr:col>
          <xdr:colOff>99060</xdr:colOff>
          <xdr:row>44</xdr:row>
          <xdr:rowOff>30480</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44</xdr:row>
          <xdr:rowOff>0</xdr:rowOff>
        </xdr:from>
        <xdr:to>
          <xdr:col>29</xdr:col>
          <xdr:colOff>99060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0169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92165" y="9033515"/>
              <a:ext cx="300990" cy="375280"/>
              <a:chOff x="5753695" y="8927979"/>
              <a:chExt cx="301792" cy="494781"/>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79"/>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96"/>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15240</xdr:rowOff>
        </xdr:from>
        <xdr:to>
          <xdr:col>29</xdr:col>
          <xdr:colOff>76200</xdr:colOff>
          <xdr:row>22</xdr:row>
          <xdr:rowOff>99060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53340</xdr:colOff>
          <xdr:row>27</xdr:row>
          <xdr:rowOff>30480</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106680</xdr:rowOff>
        </xdr:from>
        <xdr:to>
          <xdr:col>30</xdr:col>
          <xdr:colOff>53340</xdr:colOff>
          <xdr:row>30</xdr:row>
          <xdr:rowOff>137160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129540</xdr:rowOff>
        </xdr:from>
        <xdr:to>
          <xdr:col>30</xdr:col>
          <xdr:colOff>53340</xdr:colOff>
          <xdr:row>34</xdr:row>
          <xdr:rowOff>53340</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35806" y="6517005"/>
              <a:ext cx="300996" cy="683895"/>
              <a:chOff x="4540193" y="6438960"/>
              <a:chExt cx="308372" cy="779236"/>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3"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3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167640</xdr:colOff>
          <xdr:row>38</xdr:row>
          <xdr:rowOff>99060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91440</xdr:rowOff>
        </xdr:from>
        <xdr:to>
          <xdr:col>29</xdr:col>
          <xdr:colOff>144780</xdr:colOff>
          <xdr:row>46</xdr:row>
          <xdr:rowOff>22860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114300</xdr:rowOff>
        </xdr:from>
        <xdr:to>
          <xdr:col>39</xdr:col>
          <xdr:colOff>38100</xdr:colOff>
          <xdr:row>34</xdr:row>
          <xdr:rowOff>15240</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205740</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43</xdr:row>
          <xdr:rowOff>0</xdr:rowOff>
        </xdr:from>
        <xdr:to>
          <xdr:col>38</xdr:col>
          <xdr:colOff>53340</xdr:colOff>
          <xdr:row>46</xdr:row>
          <xdr:rowOff>129540</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91440</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4319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0446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53340</xdr:colOff>
          <xdr:row>20</xdr:row>
          <xdr:rowOff>0</xdr:rowOff>
        </xdr:from>
        <xdr:to>
          <xdr:col>38</xdr:col>
          <xdr:colOff>60960</xdr:colOff>
          <xdr:row>23</xdr:row>
          <xdr:rowOff>91440</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0234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53340</xdr:colOff>
          <xdr:row>27</xdr:row>
          <xdr:rowOff>53340</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9960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2159" y="8168645"/>
              <a:ext cx="224793" cy="695325"/>
              <a:chOff x="5754621" y="8167935"/>
              <a:chExt cx="225536" cy="793280"/>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65" y="8167935"/>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621" y="872214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4533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92162" y="4223384"/>
              <a:ext cx="300990" cy="424901"/>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0169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892196" y="5655945"/>
              <a:ext cx="30099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0169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4330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35837" y="7336134"/>
              <a:ext cx="224791" cy="714472"/>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0169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4533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45323" y="8164829"/>
              <a:ext cx="196215" cy="741051"/>
              <a:chOff x="4529954" y="8163154"/>
              <a:chExt cx="208417" cy="747983"/>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4" y="8163154"/>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4" y="8642620"/>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01689" y="7324718"/>
              <a:ext cx="300996" cy="716284"/>
              <a:chOff x="5801281" y="7286496"/>
              <a:chExt cx="301598" cy="71086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81"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6"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526228" y="249084"/>
          <a:ext cx="901878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892196" y="4804410"/>
              <a:ext cx="30099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892196" y="6517005"/>
              <a:ext cx="300990" cy="683895"/>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45329" y="4240530"/>
              <a:ext cx="300994" cy="407670"/>
              <a:chOff x="4492279"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3"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35805" y="4794885"/>
              <a:ext cx="300990" cy="714375"/>
              <a:chOff x="4470327" y="4496273"/>
              <a:chExt cx="301792" cy="780079"/>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3"/>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35806" y="5655942"/>
              <a:ext cx="300996" cy="695326"/>
              <a:chOff x="4540193" y="5456629"/>
              <a:chExt cx="308372" cy="759868"/>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3" y="5456629"/>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43</xdr:row>
          <xdr:rowOff>0</xdr:rowOff>
        </xdr:from>
        <xdr:to>
          <xdr:col>29</xdr:col>
          <xdr:colOff>99060</xdr:colOff>
          <xdr:row>44</xdr:row>
          <xdr:rowOff>30480</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129540</xdr:colOff>
          <xdr:row>44</xdr:row>
          <xdr:rowOff>0</xdr:rowOff>
        </xdr:from>
        <xdr:to>
          <xdr:col>29</xdr:col>
          <xdr:colOff>99060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0169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92165" y="9033515"/>
              <a:ext cx="300990" cy="375280"/>
              <a:chOff x="5753695" y="8927979"/>
              <a:chExt cx="301792" cy="494781"/>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79"/>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96"/>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15240</xdr:rowOff>
        </xdr:from>
        <xdr:to>
          <xdr:col>29</xdr:col>
          <xdr:colOff>76200</xdr:colOff>
          <xdr:row>22</xdr:row>
          <xdr:rowOff>99060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53340</xdr:colOff>
          <xdr:row>27</xdr:row>
          <xdr:rowOff>30480</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106680</xdr:rowOff>
        </xdr:from>
        <xdr:to>
          <xdr:col>30</xdr:col>
          <xdr:colOff>53340</xdr:colOff>
          <xdr:row>30</xdr:row>
          <xdr:rowOff>137160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129540</xdr:rowOff>
        </xdr:from>
        <xdr:to>
          <xdr:col>30</xdr:col>
          <xdr:colOff>53340</xdr:colOff>
          <xdr:row>34</xdr:row>
          <xdr:rowOff>53340</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35806" y="6517005"/>
              <a:ext cx="300996" cy="683895"/>
              <a:chOff x="4540193" y="6438960"/>
              <a:chExt cx="308372" cy="779236"/>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3"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3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167640</xdr:colOff>
          <xdr:row>38</xdr:row>
          <xdr:rowOff>99060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91440</xdr:rowOff>
        </xdr:from>
        <xdr:to>
          <xdr:col>29</xdr:col>
          <xdr:colOff>144780</xdr:colOff>
          <xdr:row>46</xdr:row>
          <xdr:rowOff>22860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114300</xdr:rowOff>
        </xdr:from>
        <xdr:to>
          <xdr:col>39</xdr:col>
          <xdr:colOff>38100</xdr:colOff>
          <xdr:row>34</xdr:row>
          <xdr:rowOff>15240</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205740</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43</xdr:row>
          <xdr:rowOff>0</xdr:rowOff>
        </xdr:from>
        <xdr:to>
          <xdr:col>38</xdr:col>
          <xdr:colOff>53340</xdr:colOff>
          <xdr:row>46</xdr:row>
          <xdr:rowOff>129540</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91440</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4319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0446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53340</xdr:colOff>
          <xdr:row>20</xdr:row>
          <xdr:rowOff>0</xdr:rowOff>
        </xdr:from>
        <xdr:to>
          <xdr:col>38</xdr:col>
          <xdr:colOff>60960</xdr:colOff>
          <xdr:row>23</xdr:row>
          <xdr:rowOff>91440</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0234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53340</xdr:colOff>
          <xdr:row>27</xdr:row>
          <xdr:rowOff>53340</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9960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92159" y="8168645"/>
              <a:ext cx="224793" cy="695325"/>
              <a:chOff x="5754621" y="8167935"/>
              <a:chExt cx="225536" cy="793280"/>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65" y="8167935"/>
                <a:ext cx="225492"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621" y="8722144"/>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4533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92162" y="4223384"/>
              <a:ext cx="300990" cy="424901"/>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0169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892196" y="5655945"/>
              <a:ext cx="30099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0169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4330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35837" y="7336134"/>
              <a:ext cx="224791" cy="714472"/>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0169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4533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45323" y="8164829"/>
              <a:ext cx="196215" cy="741051"/>
              <a:chOff x="4529954" y="8163154"/>
              <a:chExt cx="208417" cy="747983"/>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4" y="8163154"/>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4" y="8642620"/>
                <a:ext cx="188568" cy="268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01689" y="7324718"/>
              <a:ext cx="300996" cy="716284"/>
              <a:chOff x="5801281" y="7286496"/>
              <a:chExt cx="301598" cy="71086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81"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6"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526228" y="249084"/>
          <a:ext cx="901878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892196" y="4804410"/>
              <a:ext cx="30099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892196" y="6517005"/>
              <a:ext cx="300990" cy="683895"/>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250"/>
  <sheetViews>
    <sheetView tabSelected="1" view="pageBreakPreview" topLeftCell="A2" zoomScale="120" zoomScaleNormal="120" zoomScaleSheetLayoutView="120" zoomScalePageLayoutView="64" workbookViewId="0">
      <selection activeCell="A2" sqref="A2"/>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796875" style="157" customWidth="1"/>
    <col min="38" max="38" width="2.5" style="157" customWidth="1"/>
    <col min="39" max="39" width="6.796875" style="157" customWidth="1"/>
    <col min="40" max="43" width="5.296875" style="157" customWidth="1"/>
    <col min="44" max="44" width="7.296875" style="157" customWidth="1"/>
    <col min="45" max="52" width="5.296875" style="157" customWidth="1"/>
    <col min="53" max="55" width="5.5" style="157" customWidth="1"/>
    <col min="56" max="56" width="5.7968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3.8"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3.8"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00000000-0002-0000-0000-000000000000}">
      <formula1>"令和,平成"</formula1>
    </dataValidation>
    <dataValidation imeMode="hiragana" allowBlank="1" showInputMessage="1" showErrorMessage="1" sqref="X203:X204 T202 U46 T47 T45" xr:uid="{00000000-0002-0000-0000-000001000000}"/>
    <dataValidation imeMode="halfAlpha" allowBlank="1" showInputMessage="1" showErrorMessage="1" sqref="K201:L201 E201:F201 H201:I201 B13 L13 Q43 AA43 T43 AD43" xr:uid="{00000000-0002-0000-0000-000002000000}"/>
  </dataValidations>
  <hyperlinks>
    <hyperlink ref="Z13" r:id="rId1" xr:uid="{00000000-0004-0000-0000-000000000000}"/>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68580</xdr:rowOff>
                  </from>
                  <to>
                    <xdr:col>6</xdr:col>
                    <xdr:colOff>22860</xdr:colOff>
                    <xdr:row>43</xdr:row>
                    <xdr:rowOff>281940</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182880</xdr:colOff>
                    <xdr:row>43</xdr:row>
                    <xdr:rowOff>68580</xdr:rowOff>
                  </from>
                  <to>
                    <xdr:col>10</xdr:col>
                    <xdr:colOff>30480</xdr:colOff>
                    <xdr:row>43</xdr:row>
                    <xdr:rowOff>281940</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182880</xdr:colOff>
                    <xdr:row>43</xdr:row>
                    <xdr:rowOff>68580</xdr:rowOff>
                  </from>
                  <to>
                    <xdr:col>16</xdr:col>
                    <xdr:colOff>30480</xdr:colOff>
                    <xdr:row>43</xdr:row>
                    <xdr:rowOff>281940</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182880</xdr:colOff>
                    <xdr:row>43</xdr:row>
                    <xdr:rowOff>68580</xdr:rowOff>
                  </from>
                  <to>
                    <xdr:col>23</xdr:col>
                    <xdr:colOff>30480</xdr:colOff>
                    <xdr:row>43</xdr:row>
                    <xdr:rowOff>281940</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182880</xdr:colOff>
                    <xdr:row>43</xdr:row>
                    <xdr:rowOff>68580</xdr:rowOff>
                  </from>
                  <to>
                    <xdr:col>27</xdr:col>
                    <xdr:colOff>22860</xdr:colOff>
                    <xdr:row>43</xdr:row>
                    <xdr:rowOff>281940</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15240</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91440</xdr:colOff>
                    <xdr:row>97</xdr:row>
                    <xdr:rowOff>15240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53340</xdr:rowOff>
                  </from>
                  <to>
                    <xdr:col>13</xdr:col>
                    <xdr:colOff>106680</xdr:colOff>
                    <xdr:row>102</xdr:row>
                    <xdr:rowOff>281940</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91440</xdr:colOff>
                    <xdr:row>104</xdr:row>
                    <xdr:rowOff>205740</xdr:rowOff>
                  </from>
                  <to>
                    <xdr:col>3</xdr:col>
                    <xdr:colOff>106680</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91440</xdr:colOff>
                    <xdr:row>113</xdr:row>
                    <xdr:rowOff>53340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243840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15240</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167640</xdr:rowOff>
                  </from>
                  <to>
                    <xdr:col>6</xdr:col>
                    <xdr:colOff>0</xdr:colOff>
                    <xdr:row>155</xdr:row>
                    <xdr:rowOff>30480</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205740</xdr:colOff>
                    <xdr:row>181</xdr:row>
                    <xdr:rowOff>53340</xdr:rowOff>
                  </from>
                  <to>
                    <xdr:col>6</xdr:col>
                    <xdr:colOff>15240</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205740</xdr:colOff>
                    <xdr:row>182</xdr:row>
                    <xdr:rowOff>15240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15240</xdr:colOff>
                    <xdr:row>187</xdr:row>
                    <xdr:rowOff>53340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15240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15240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15240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15240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15240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91440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220980</xdr:colOff>
                    <xdr:row>135</xdr:row>
                    <xdr:rowOff>167640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220980</xdr:colOff>
                    <xdr:row>137</xdr:row>
                    <xdr:rowOff>30480</xdr:rowOff>
                  </from>
                  <to>
                    <xdr:col>2</xdr:col>
                    <xdr:colOff>175260</xdr:colOff>
                    <xdr:row>137</xdr:row>
                    <xdr:rowOff>320040</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2332</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5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538"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5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538"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7" t="s">
        <v>2176</v>
      </c>
      <c r="AD37" s="1048"/>
      <c r="AE37" s="1048"/>
      <c r="AF37" s="1048"/>
      <c r="AG37" s="1049"/>
      <c r="AH37" s="1050"/>
      <c r="AI37" s="1022"/>
      <c r="AJ37" s="1023"/>
      <c r="AK37" s="1047" t="s">
        <v>2176</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IFERROR(IF(AND(OR(AP61=1,AP61=2),AP62=1,AP63=1),"特定加算Ⅰ",IF(AND(OR(AP61=1,AP61=2),AP62=2,AP63=1),"特定加算Ⅱ",IF(OR(AP61=3,AP62=2,AP63=2),"特定加算なし",""))),"")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2376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SUM(事業所個票９!BU51)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900-000000000000}">
      <formula1>サービス名</formula1>
    </dataValidation>
    <dataValidation type="list" allowBlank="1" showInputMessage="1" showErrorMessage="1" sqref="M5:O5" xr:uid="{00000000-0002-0000-0900-000001000000}">
      <formula1>INDIRECT(J5)</formula1>
    </dataValidation>
    <dataValidation type="list" allowBlank="1" showInputMessage="1" showErrorMessage="1" sqref="M15:M16" xr:uid="{00000000-0002-0000-0900-000002000000}">
      <formula1>"1,2,3,6,7,8,9,10,11,12"</formula1>
    </dataValidation>
    <dataValidation type="list" allowBlank="1" showInputMessage="1" showErrorMessage="1" sqref="K15:K16 D15:D16" xr:uid="{00000000-0002-0000-09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900-000004000000}">
      <formula1>10</formula1>
    </dataValidation>
    <dataValidation type="list" allowBlank="1" showInputMessage="1" showErrorMessage="1" sqref="AD41:AH41" xr:uid="{00000000-0002-0000-0900-000005000000}">
      <formula1>INDIRECT(BF1)</formula1>
    </dataValidation>
    <dataValidation type="list" allowBlank="1" showInputMessage="1" showErrorMessage="1" sqref="AL41:AP41" xr:uid="{00000000-0002-0000-0900-000006000000}">
      <formula1>INDIRECT(BF1)</formula1>
    </dataValidation>
    <dataValidation type="whole" operator="greaterThanOrEqual" allowBlank="1" showInputMessage="1" showErrorMessage="1" prompt="要件を満たす職員数を記入してください。" sqref="AG37:AH37 AO37:AP37" xr:uid="{00000000-0002-0000-09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121920</xdr:colOff>
                    <xdr:row>23</xdr:row>
                    <xdr:rowOff>7620</xdr:rowOff>
                  </from>
                  <to>
                    <xdr:col>29</xdr:col>
                    <xdr:colOff>106680</xdr:colOff>
                    <xdr:row>24</xdr:row>
                    <xdr:rowOff>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121920</xdr:colOff>
                    <xdr:row>24</xdr:row>
                    <xdr:rowOff>266700</xdr:rowOff>
                  </from>
                  <to>
                    <xdr:col>29</xdr:col>
                    <xdr:colOff>106680</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129540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129540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99060</xdr:colOff>
                    <xdr:row>20</xdr:row>
                    <xdr:rowOff>15240</xdr:rowOff>
                  </from>
                  <to>
                    <xdr:col>29</xdr:col>
                    <xdr:colOff>76200</xdr:colOff>
                    <xdr:row>22</xdr:row>
                    <xdr:rowOff>99060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30480</xdr:colOff>
                    <xdr:row>22</xdr:row>
                    <xdr:rowOff>137160</xdr:rowOff>
                  </from>
                  <to>
                    <xdr:col>30</xdr:col>
                    <xdr:colOff>53340</xdr:colOff>
                    <xdr:row>27</xdr:row>
                    <xdr:rowOff>30480</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15240</xdr:colOff>
                    <xdr:row>26</xdr:row>
                    <xdr:rowOff>106680</xdr:rowOff>
                  </from>
                  <to>
                    <xdr:col>30</xdr:col>
                    <xdr:colOff>53340</xdr:colOff>
                    <xdr:row>30</xdr:row>
                    <xdr:rowOff>137160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15240</xdr:colOff>
                    <xdr:row>30</xdr:row>
                    <xdr:rowOff>129540</xdr:rowOff>
                  </from>
                  <to>
                    <xdr:col>30</xdr:col>
                    <xdr:colOff>53340</xdr:colOff>
                    <xdr:row>34</xdr:row>
                    <xdr:rowOff>53340</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137160</xdr:colOff>
                    <xdr:row>34</xdr:row>
                    <xdr:rowOff>38100</xdr:rowOff>
                  </from>
                  <to>
                    <xdr:col>30</xdr:col>
                    <xdr:colOff>167640</xdr:colOff>
                    <xdr:row>38</xdr:row>
                    <xdr:rowOff>99060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91440</xdr:rowOff>
                  </from>
                  <to>
                    <xdr:col>29</xdr:col>
                    <xdr:colOff>144780</xdr:colOff>
                    <xdr:row>46</xdr:row>
                    <xdr:rowOff>22860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15240</xdr:colOff>
                    <xdr:row>30</xdr:row>
                    <xdr:rowOff>114300</xdr:rowOff>
                  </from>
                  <to>
                    <xdr:col>39</xdr:col>
                    <xdr:colOff>38100</xdr:colOff>
                    <xdr:row>34</xdr:row>
                    <xdr:rowOff>15240</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22860</xdr:colOff>
                    <xdr:row>38</xdr:row>
                    <xdr:rowOff>106680</xdr:rowOff>
                  </from>
                  <to>
                    <xdr:col>38</xdr:col>
                    <xdr:colOff>152400</xdr:colOff>
                    <xdr:row>41</xdr:row>
                    <xdr:rowOff>205740</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53340</xdr:colOff>
                    <xdr:row>43</xdr:row>
                    <xdr:rowOff>0</xdr:rowOff>
                  </from>
                  <to>
                    <xdr:col>38</xdr:col>
                    <xdr:colOff>53340</xdr:colOff>
                    <xdr:row>46</xdr:row>
                    <xdr:rowOff>129540</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30480</xdr:colOff>
                    <xdr:row>20</xdr:row>
                    <xdr:rowOff>0</xdr:rowOff>
                  </from>
                  <to>
                    <xdr:col>30</xdr:col>
                    <xdr:colOff>38100</xdr:colOff>
                    <xdr:row>23</xdr:row>
                    <xdr:rowOff>91440</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53340</xdr:colOff>
                    <xdr:row>20</xdr:row>
                    <xdr:rowOff>0</xdr:rowOff>
                  </from>
                  <to>
                    <xdr:col>38</xdr:col>
                    <xdr:colOff>60960</xdr:colOff>
                    <xdr:row>23</xdr:row>
                    <xdr:rowOff>91440</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60960</xdr:colOff>
                    <xdr:row>22</xdr:row>
                    <xdr:rowOff>99060</xdr:rowOff>
                  </from>
                  <to>
                    <xdr:col>38</xdr:col>
                    <xdr:colOff>53340</xdr:colOff>
                    <xdr:row>27</xdr:row>
                    <xdr:rowOff>53340</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8000000}">
          <x14:formula1>
            <xm:f>【参考】数式用3!$A$3:$A$49</xm:f>
          </x14:formula1>
          <xm:sqref>J5:L5</xm:sqref>
        </x14:dataValidation>
        <x14:dataValidation type="list" allowBlank="1" showInputMessage="1" showErrorMessage="1" xr:uid="{00000000-0002-0000-0900-000009000000}">
          <x14:formula1>
            <xm:f>【参考】数式用!$I$4:$J$4</xm:f>
          </x14:formula1>
          <xm:sqref>L9</xm:sqref>
        </x14:dataValidation>
        <x14:dataValidation type="list" allowBlank="1" showInputMessage="1" showErrorMessage="1" xr:uid="{00000000-0002-0000-0900-00000A000000}">
          <x14:formula1>
            <xm:f>【参考】数式用!$F$4:$H$4</xm:f>
          </x14:formula1>
          <xm:sqref>G9</xm:sqref>
        </x14:dataValidation>
        <x14:dataValidation type="list" allowBlank="1" showInputMessage="1" showErrorMessage="1" xr:uid="{00000000-0002-0000-0900-00000B000000}">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CJ73"/>
  <sheetViews>
    <sheetView showGridLines="0" view="pageBreakPreview" zoomScaleNormal="53" zoomScaleSheetLayoutView="100" workbookViewId="0">
      <selection activeCell="N3" sqref="N3"/>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2333</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5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538"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5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538"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7" t="s">
        <v>2176</v>
      </c>
      <c r="AD37" s="1048"/>
      <c r="AE37" s="1048"/>
      <c r="AF37" s="1048"/>
      <c r="AG37" s="1049"/>
      <c r="AH37" s="1050"/>
      <c r="AI37" s="1022"/>
      <c r="AJ37" s="1023"/>
      <c r="AK37" s="1047" t="s">
        <v>2176</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IFERROR(IF(AND(OR(AP61=1,AP61=2),AP62=1,AP63=1),"特定加算Ⅰ",IF(AND(OR(AP61=1,AP61=2),AP62=2,AP63=1),"特定加算Ⅱ",IF(OR(AP61=3,AP62=2,AP63=2),"特定加算なし",""))),"")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2376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SUM(事業所個票10!BU51)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00000000-0002-0000-0A00-000000000000}">
      <formula1>0</formula1>
    </dataValidation>
    <dataValidation type="list" allowBlank="1" showInputMessage="1" showErrorMessage="1" sqref="AL41:AP41" xr:uid="{00000000-0002-0000-0A00-000001000000}">
      <formula1>INDIRECT(BF1)</formula1>
    </dataValidation>
    <dataValidation type="list" allowBlank="1" showInputMessage="1" showErrorMessage="1" sqref="AD41:AH41" xr:uid="{00000000-0002-0000-0A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A00-000003000000}">
      <formula1>10</formula1>
    </dataValidation>
    <dataValidation type="list" allowBlank="1" showInputMessage="1" showErrorMessage="1" sqref="K15:K16 D15:D16" xr:uid="{00000000-0002-0000-0A00-000004000000}">
      <formula1>"6,7"</formula1>
    </dataValidation>
    <dataValidation type="list" allowBlank="1" showInputMessage="1" showErrorMessage="1" sqref="M15:M16" xr:uid="{00000000-0002-0000-0A00-000005000000}">
      <formula1>"1,2,3,6,7,8,9,10,11,12"</formula1>
    </dataValidation>
    <dataValidation type="list" allowBlank="1" showInputMessage="1" showErrorMessage="1" sqref="M5:O5" xr:uid="{00000000-0002-0000-0A00-000006000000}">
      <formula1>INDIRECT(J5)</formula1>
    </dataValidation>
    <dataValidation type="list" allowBlank="1" showInputMessage="1" showErrorMessage="1" sqref="Y5:AD5" xr:uid="{00000000-0002-0000-0A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121920</xdr:colOff>
                    <xdr:row>23</xdr:row>
                    <xdr:rowOff>7620</xdr:rowOff>
                  </from>
                  <to>
                    <xdr:col>29</xdr:col>
                    <xdr:colOff>106680</xdr:colOff>
                    <xdr:row>24</xdr:row>
                    <xdr:rowOff>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121920</xdr:colOff>
                    <xdr:row>24</xdr:row>
                    <xdr:rowOff>266700</xdr:rowOff>
                  </from>
                  <to>
                    <xdr:col>29</xdr:col>
                    <xdr:colOff>106680</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129540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129540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99060</xdr:colOff>
                    <xdr:row>20</xdr:row>
                    <xdr:rowOff>15240</xdr:rowOff>
                  </from>
                  <to>
                    <xdr:col>29</xdr:col>
                    <xdr:colOff>76200</xdr:colOff>
                    <xdr:row>22</xdr:row>
                    <xdr:rowOff>99060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30480</xdr:colOff>
                    <xdr:row>22</xdr:row>
                    <xdr:rowOff>137160</xdr:rowOff>
                  </from>
                  <to>
                    <xdr:col>30</xdr:col>
                    <xdr:colOff>53340</xdr:colOff>
                    <xdr:row>27</xdr:row>
                    <xdr:rowOff>30480</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15240</xdr:colOff>
                    <xdr:row>26</xdr:row>
                    <xdr:rowOff>106680</xdr:rowOff>
                  </from>
                  <to>
                    <xdr:col>30</xdr:col>
                    <xdr:colOff>53340</xdr:colOff>
                    <xdr:row>30</xdr:row>
                    <xdr:rowOff>137160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15240</xdr:colOff>
                    <xdr:row>30</xdr:row>
                    <xdr:rowOff>129540</xdr:rowOff>
                  </from>
                  <to>
                    <xdr:col>30</xdr:col>
                    <xdr:colOff>53340</xdr:colOff>
                    <xdr:row>34</xdr:row>
                    <xdr:rowOff>53340</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137160</xdr:colOff>
                    <xdr:row>34</xdr:row>
                    <xdr:rowOff>38100</xdr:rowOff>
                  </from>
                  <to>
                    <xdr:col>30</xdr:col>
                    <xdr:colOff>167640</xdr:colOff>
                    <xdr:row>38</xdr:row>
                    <xdr:rowOff>99060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91440</xdr:rowOff>
                  </from>
                  <to>
                    <xdr:col>29</xdr:col>
                    <xdr:colOff>144780</xdr:colOff>
                    <xdr:row>46</xdr:row>
                    <xdr:rowOff>22860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15240</xdr:colOff>
                    <xdr:row>30</xdr:row>
                    <xdr:rowOff>114300</xdr:rowOff>
                  </from>
                  <to>
                    <xdr:col>39</xdr:col>
                    <xdr:colOff>38100</xdr:colOff>
                    <xdr:row>34</xdr:row>
                    <xdr:rowOff>15240</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22860</xdr:colOff>
                    <xdr:row>38</xdr:row>
                    <xdr:rowOff>106680</xdr:rowOff>
                  </from>
                  <to>
                    <xdr:col>38</xdr:col>
                    <xdr:colOff>152400</xdr:colOff>
                    <xdr:row>41</xdr:row>
                    <xdr:rowOff>205740</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53340</xdr:colOff>
                    <xdr:row>43</xdr:row>
                    <xdr:rowOff>0</xdr:rowOff>
                  </from>
                  <to>
                    <xdr:col>38</xdr:col>
                    <xdr:colOff>53340</xdr:colOff>
                    <xdr:row>46</xdr:row>
                    <xdr:rowOff>129540</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30480</xdr:colOff>
                    <xdr:row>20</xdr:row>
                    <xdr:rowOff>0</xdr:rowOff>
                  </from>
                  <to>
                    <xdr:col>30</xdr:col>
                    <xdr:colOff>38100</xdr:colOff>
                    <xdr:row>23</xdr:row>
                    <xdr:rowOff>91440</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53340</xdr:colOff>
                    <xdr:row>20</xdr:row>
                    <xdr:rowOff>0</xdr:rowOff>
                  </from>
                  <to>
                    <xdr:col>38</xdr:col>
                    <xdr:colOff>60960</xdr:colOff>
                    <xdr:row>23</xdr:row>
                    <xdr:rowOff>91440</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60960</xdr:colOff>
                    <xdr:row>22</xdr:row>
                    <xdr:rowOff>99060</xdr:rowOff>
                  </from>
                  <to>
                    <xdr:col>38</xdr:col>
                    <xdr:colOff>53340</xdr:colOff>
                    <xdr:row>27</xdr:row>
                    <xdr:rowOff>53340</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8000000}">
          <x14:formula1>
            <xm:f>【参考】数式用!$B$4:$E$4</xm:f>
          </x14:formula1>
          <xm:sqref>B9:F9</xm:sqref>
        </x14:dataValidation>
        <x14:dataValidation type="list" allowBlank="1" showInputMessage="1" showErrorMessage="1" xr:uid="{00000000-0002-0000-0A00-000009000000}">
          <x14:formula1>
            <xm:f>【参考】数式用!$F$4:$H$4</xm:f>
          </x14:formula1>
          <xm:sqref>G9</xm:sqref>
        </x14:dataValidation>
        <x14:dataValidation type="list" allowBlank="1" showInputMessage="1" showErrorMessage="1" xr:uid="{00000000-0002-0000-0A00-00000A000000}">
          <x14:formula1>
            <xm:f>【参考】数式用!$I$4:$J$4</xm:f>
          </x14:formula1>
          <xm:sqref>L9</xm:sqref>
        </x14:dataValidation>
        <x14:dataValidation type="list" allowBlank="1" showInputMessage="1" showErrorMessage="1" xr:uid="{00000000-0002-0000-0A00-00000B000000}">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2"/>
  <cols>
    <col min="1" max="1" width="42.69921875" style="448" customWidth="1"/>
    <col min="2" max="28" width="6.69921875" style="448" customWidth="1"/>
    <col min="29" max="29" width="12" style="448" customWidth="1"/>
    <col min="30" max="30" width="8" style="448" customWidth="1"/>
    <col min="31" max="31" width="46.296875" style="448" customWidth="1"/>
    <col min="32" max="32" width="26.796875" style="448" customWidth="1"/>
    <col min="33" max="33" width="9.09765625" style="448" customWidth="1"/>
    <col min="34" max="34" width="38.296875" style="448" customWidth="1"/>
    <col min="35" max="35" width="38.59765625" style="448" customWidth="1"/>
    <col min="36" max="36" width="9" style="448"/>
    <col min="37" max="37" width="16.69921875" style="448" customWidth="1"/>
    <col min="38" max="42" width="9" style="448"/>
    <col min="43" max="43" width="48.5" style="448" customWidth="1"/>
    <col min="44" max="44" width="104.296875" style="448" customWidth="1"/>
    <col min="45" max="16384" width="9" style="448"/>
  </cols>
  <sheetData>
    <row r="1" spans="1:44" ht="13.8" thickBot="1">
      <c r="A1" s="447" t="s">
        <v>218</v>
      </c>
      <c r="B1" s="447"/>
      <c r="C1" s="447"/>
      <c r="D1" s="447"/>
      <c r="E1" s="447"/>
      <c r="AD1" s="449"/>
      <c r="AE1" s="447" t="s">
        <v>2109</v>
      </c>
      <c r="AH1" s="448" t="s">
        <v>219</v>
      </c>
      <c r="AK1" s="448" t="s">
        <v>220</v>
      </c>
      <c r="AM1" s="450" t="s">
        <v>221</v>
      </c>
      <c r="AO1" s="447" t="s">
        <v>222</v>
      </c>
    </row>
    <row r="2" spans="1:44" ht="36.75" customHeight="1" thickBot="1">
      <c r="A2" s="1217" t="s">
        <v>224</v>
      </c>
      <c r="B2" s="1219" t="s">
        <v>2239</v>
      </c>
      <c r="C2" s="1220"/>
      <c r="D2" s="1220"/>
      <c r="E2" s="1221"/>
      <c r="F2" s="1222" t="s">
        <v>2240</v>
      </c>
      <c r="G2" s="1223"/>
      <c r="H2" s="1223"/>
      <c r="I2" s="1217" t="s">
        <v>2241</v>
      </c>
      <c r="J2" s="1224"/>
      <c r="K2" s="1227" t="s">
        <v>2242</v>
      </c>
      <c r="L2" s="1228"/>
      <c r="M2" s="1228"/>
      <c r="N2" s="1228"/>
      <c r="O2" s="1228"/>
      <c r="P2" s="1228"/>
      <c r="Q2" s="1228"/>
      <c r="R2" s="1228"/>
      <c r="S2" s="1228"/>
      <c r="T2" s="1228"/>
      <c r="U2" s="1228"/>
      <c r="V2" s="1228"/>
      <c r="W2" s="1228"/>
      <c r="X2" s="1228"/>
      <c r="Y2" s="1228"/>
      <c r="Z2" s="1228"/>
      <c r="AA2" s="1228"/>
      <c r="AB2" s="1229"/>
      <c r="AC2" s="1247" t="s">
        <v>2243</v>
      </c>
      <c r="AD2" s="449"/>
      <c r="AE2" s="1243" t="s">
        <v>224</v>
      </c>
      <c r="AF2" s="1245" t="s">
        <v>2277</v>
      </c>
      <c r="AH2" s="444" t="s">
        <v>2244</v>
      </c>
      <c r="AI2" s="445" t="s">
        <v>2244</v>
      </c>
      <c r="AK2" s="451" t="s">
        <v>181</v>
      </c>
      <c r="AM2" s="451" t="s">
        <v>16</v>
      </c>
      <c r="AO2" s="452" t="s">
        <v>226</v>
      </c>
      <c r="AQ2" s="1237" t="s">
        <v>2008</v>
      </c>
      <c r="AR2" s="1240" t="s">
        <v>225</v>
      </c>
    </row>
    <row r="3" spans="1:44" ht="51.75" customHeight="1" thickBot="1">
      <c r="A3" s="1218"/>
      <c r="B3" s="1230" t="s">
        <v>228</v>
      </c>
      <c r="C3" s="1231"/>
      <c r="D3" s="1231"/>
      <c r="E3" s="1232"/>
      <c r="F3" s="1233" t="s">
        <v>229</v>
      </c>
      <c r="G3" s="1233"/>
      <c r="H3" s="1233"/>
      <c r="I3" s="1225"/>
      <c r="J3" s="1226"/>
      <c r="K3" s="1234" t="s">
        <v>230</v>
      </c>
      <c r="L3" s="1235"/>
      <c r="M3" s="1235"/>
      <c r="N3" s="1235"/>
      <c r="O3" s="1235"/>
      <c r="P3" s="1235"/>
      <c r="Q3" s="1235"/>
      <c r="R3" s="1235"/>
      <c r="S3" s="1235"/>
      <c r="T3" s="1235"/>
      <c r="U3" s="1235"/>
      <c r="V3" s="1235"/>
      <c r="W3" s="1235"/>
      <c r="X3" s="1235"/>
      <c r="Y3" s="1235"/>
      <c r="Z3" s="1235"/>
      <c r="AA3" s="1235"/>
      <c r="AB3" s="1236"/>
      <c r="AC3" s="1248"/>
      <c r="AD3" s="449"/>
      <c r="AE3" s="1244"/>
      <c r="AF3" s="1246"/>
      <c r="AH3" s="443" t="s">
        <v>2245</v>
      </c>
      <c r="AI3" s="446" t="s">
        <v>2245</v>
      </c>
      <c r="AK3" s="453"/>
      <c r="AM3" s="453"/>
      <c r="AO3" s="454" t="s">
        <v>18</v>
      </c>
      <c r="AQ3" s="1238"/>
      <c r="AR3" s="1241"/>
    </row>
    <row r="4" spans="1:44" ht="41.25" customHeight="1" thickBot="1">
      <c r="A4" s="1218"/>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49"/>
      <c r="AD4" s="449"/>
      <c r="AE4" s="1244"/>
      <c r="AF4" s="1246"/>
      <c r="AH4" s="443" t="s">
        <v>2280</v>
      </c>
      <c r="AI4" s="446" t="s">
        <v>2280</v>
      </c>
      <c r="AO4" s="454" t="s">
        <v>237</v>
      </c>
      <c r="AQ4" s="1239"/>
      <c r="AR4" s="1242"/>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3.8"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3.8"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3.8"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3.8"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3.8"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3.8"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3.8"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00000000-0002-0000-0B00-000000000000}">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2968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1" t="s">
        <v>2239</v>
      </c>
      <c r="C3" s="1250" t="s">
        <v>2240</v>
      </c>
      <c r="D3" s="1250" t="s">
        <v>2241</v>
      </c>
      <c r="E3" s="1250" t="s">
        <v>227</v>
      </c>
      <c r="F3" s="1252" t="s">
        <v>2067</v>
      </c>
      <c r="G3" s="1250" t="s">
        <v>2103</v>
      </c>
      <c r="H3" s="1250"/>
      <c r="I3" s="1250" t="s">
        <v>2104</v>
      </c>
      <c r="J3" s="1250"/>
      <c r="K3" s="1250" t="s">
        <v>2105</v>
      </c>
      <c r="L3" s="1250"/>
      <c r="M3" s="1255" t="s">
        <v>2037</v>
      </c>
      <c r="N3" s="1255" t="s">
        <v>2038</v>
      </c>
      <c r="O3" s="1255" t="s">
        <v>2039</v>
      </c>
      <c r="P3" s="1255" t="s">
        <v>2040</v>
      </c>
      <c r="Q3" s="1255" t="s">
        <v>2041</v>
      </c>
      <c r="R3" s="1255" t="s">
        <v>2042</v>
      </c>
      <c r="S3" s="1255" t="s">
        <v>2043</v>
      </c>
    </row>
    <row r="4" spans="2:19">
      <c r="B4" s="1251"/>
      <c r="C4" s="1250"/>
      <c r="D4" s="1250"/>
      <c r="E4" s="1250"/>
      <c r="F4" s="1253"/>
      <c r="G4" s="1250"/>
      <c r="H4" s="1250"/>
      <c r="I4" s="1250"/>
      <c r="J4" s="1250"/>
      <c r="K4" s="1250"/>
      <c r="L4" s="1250"/>
      <c r="M4" s="1255"/>
      <c r="N4" s="1255"/>
      <c r="O4" s="1255"/>
      <c r="P4" s="1255"/>
      <c r="Q4" s="1255"/>
      <c r="R4" s="1255"/>
      <c r="S4" s="1255"/>
    </row>
    <row r="5" spans="2:19">
      <c r="B5" s="1251"/>
      <c r="C5" s="1250"/>
      <c r="D5" s="1250"/>
      <c r="E5" s="1250"/>
      <c r="F5" s="1254"/>
      <c r="G5" s="1250"/>
      <c r="H5" s="1250"/>
      <c r="I5" s="1250"/>
      <c r="J5" s="1250"/>
      <c r="K5" s="1250"/>
      <c r="L5" s="1250"/>
      <c r="M5" s="1255"/>
      <c r="N5" s="1255"/>
      <c r="O5" s="1255"/>
      <c r="P5" s="1255"/>
      <c r="Q5" s="1255"/>
      <c r="R5" s="1255"/>
      <c r="S5" s="1255"/>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2044</v>
      </c>
      <c r="R25" s="30" t="s">
        <v>2045</v>
      </c>
      <c r="S25" s="30" t="s">
        <v>2044</v>
      </c>
    </row>
  </sheetData>
  <autoFilter ref="B5:S23" xr:uid="{00000000-0009-0000-0000-00000C000000}">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H1749"/>
  <sheetViews>
    <sheetView workbookViewId="0">
      <selection activeCell="AC50" sqref="AC50:AH50"/>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242</v>
      </c>
      <c r="C1" s="1" t="s">
        <v>243</v>
      </c>
    </row>
    <row r="2" spans="1:8" ht="16.8" thickBot="1">
      <c r="A2" s="6" t="s">
        <v>244</v>
      </c>
      <c r="C2" s="7" t="s">
        <v>245</v>
      </c>
      <c r="D2" s="8" t="s">
        <v>246</v>
      </c>
    </row>
    <row r="3" spans="1:8" ht="16.2">
      <c r="A3" s="9" t="s">
        <v>247</v>
      </c>
      <c r="C3" s="10" t="s">
        <v>247</v>
      </c>
      <c r="D3" s="11" t="s">
        <v>248</v>
      </c>
      <c r="G3" s="53"/>
      <c r="H3" s="53"/>
    </row>
    <row r="4" spans="1:8" ht="16.2">
      <c r="A4" s="5" t="s">
        <v>249</v>
      </c>
      <c r="C4" s="12" t="s">
        <v>247</v>
      </c>
      <c r="D4" s="13" t="s">
        <v>250</v>
      </c>
      <c r="G4" s="53"/>
      <c r="H4" s="53"/>
    </row>
    <row r="5" spans="1:8" ht="16.2">
      <c r="A5" s="5" t="s">
        <v>251</v>
      </c>
      <c r="C5" s="12" t="s">
        <v>247</v>
      </c>
      <c r="D5" s="13" t="s">
        <v>252</v>
      </c>
      <c r="G5" s="53"/>
      <c r="H5" s="53"/>
    </row>
    <row r="6" spans="1:8" ht="16.2">
      <c r="A6" s="5" t="s">
        <v>253</v>
      </c>
      <c r="C6" s="12" t="s">
        <v>247</v>
      </c>
      <c r="D6" s="13" t="s">
        <v>254</v>
      </c>
      <c r="G6" s="53"/>
      <c r="H6" s="53"/>
    </row>
    <row r="7" spans="1:8" ht="16.2">
      <c r="A7" s="5" t="s">
        <v>255</v>
      </c>
      <c r="C7" s="12" t="s">
        <v>247</v>
      </c>
      <c r="D7" s="13" t="s">
        <v>256</v>
      </c>
      <c r="G7" s="53"/>
      <c r="H7" s="53"/>
    </row>
    <row r="8" spans="1:8" ht="16.2">
      <c r="A8" s="5" t="s">
        <v>257</v>
      </c>
      <c r="C8" s="12" t="s">
        <v>247</v>
      </c>
      <c r="D8" s="13" t="s">
        <v>258</v>
      </c>
    </row>
    <row r="9" spans="1:8" ht="16.2">
      <c r="A9" s="5" t="s">
        <v>259</v>
      </c>
      <c r="C9" s="12" t="s">
        <v>247</v>
      </c>
      <c r="D9" s="13" t="s">
        <v>260</v>
      </c>
    </row>
    <row r="10" spans="1:8" ht="16.2">
      <c r="A10" s="5" t="s">
        <v>261</v>
      </c>
      <c r="C10" s="12" t="s">
        <v>247</v>
      </c>
      <c r="D10" s="13" t="s">
        <v>262</v>
      </c>
    </row>
    <row r="11" spans="1:8" ht="16.2">
      <c r="A11" s="5" t="s">
        <v>263</v>
      </c>
      <c r="C11" s="12" t="s">
        <v>247</v>
      </c>
      <c r="D11" s="13" t="s">
        <v>264</v>
      </c>
    </row>
    <row r="12" spans="1:8" ht="16.2">
      <c r="A12" s="5" t="s">
        <v>265</v>
      </c>
      <c r="C12" s="12" t="s">
        <v>247</v>
      </c>
      <c r="D12" s="13" t="s">
        <v>266</v>
      </c>
    </row>
    <row r="13" spans="1:8" ht="16.2">
      <c r="A13" s="5" t="s">
        <v>267</v>
      </c>
      <c r="C13" s="12" t="s">
        <v>247</v>
      </c>
      <c r="D13" s="13" t="s">
        <v>268</v>
      </c>
    </row>
    <row r="14" spans="1:8" ht="16.2">
      <c r="A14" s="5" t="s">
        <v>269</v>
      </c>
      <c r="C14" s="12" t="s">
        <v>247</v>
      </c>
      <c r="D14" s="13" t="s">
        <v>270</v>
      </c>
    </row>
    <row r="15" spans="1:8" ht="16.2">
      <c r="A15" s="5" t="s">
        <v>4</v>
      </c>
      <c r="C15" s="12" t="s">
        <v>247</v>
      </c>
      <c r="D15" s="13" t="s">
        <v>271</v>
      </c>
    </row>
    <row r="16" spans="1:8" ht="16.2">
      <c r="A16" s="5" t="s">
        <v>272</v>
      </c>
      <c r="C16" s="12" t="s">
        <v>247</v>
      </c>
      <c r="D16" s="13" t="s">
        <v>273</v>
      </c>
    </row>
    <row r="17" spans="1:4" ht="16.2">
      <c r="A17" s="5" t="s">
        <v>274</v>
      </c>
      <c r="C17" s="12" t="s">
        <v>247</v>
      </c>
      <c r="D17" s="13" t="s">
        <v>275</v>
      </c>
    </row>
    <row r="18" spans="1:4" ht="16.2">
      <c r="A18" s="5" t="s">
        <v>276</v>
      </c>
      <c r="C18" s="12" t="s">
        <v>247</v>
      </c>
      <c r="D18" s="13" t="s">
        <v>277</v>
      </c>
    </row>
    <row r="19" spans="1:4" ht="16.2">
      <c r="A19" s="5" t="s">
        <v>278</v>
      </c>
      <c r="C19" s="12" t="s">
        <v>247</v>
      </c>
      <c r="D19" s="13" t="s">
        <v>279</v>
      </c>
    </row>
    <row r="20" spans="1:4" ht="16.2">
      <c r="A20" s="5" t="s">
        <v>280</v>
      </c>
      <c r="C20" s="12" t="s">
        <v>247</v>
      </c>
      <c r="D20" s="13" t="s">
        <v>281</v>
      </c>
    </row>
    <row r="21" spans="1:4" ht="16.2">
      <c r="A21" s="5" t="s">
        <v>282</v>
      </c>
      <c r="C21" s="12" t="s">
        <v>247</v>
      </c>
      <c r="D21" s="13" t="s">
        <v>283</v>
      </c>
    </row>
    <row r="22" spans="1:4" ht="16.2">
      <c r="A22" s="5" t="s">
        <v>284</v>
      </c>
      <c r="C22" s="12" t="s">
        <v>247</v>
      </c>
      <c r="D22" s="13" t="s">
        <v>285</v>
      </c>
    </row>
    <row r="23" spans="1:4" ht="16.2">
      <c r="A23" s="5" t="s">
        <v>286</v>
      </c>
      <c r="C23" s="12" t="s">
        <v>247</v>
      </c>
      <c r="D23" s="13" t="s">
        <v>287</v>
      </c>
    </row>
    <row r="24" spans="1:4" ht="16.2">
      <c r="A24" s="5" t="s">
        <v>288</v>
      </c>
      <c r="C24" s="12" t="s">
        <v>247</v>
      </c>
      <c r="D24" s="13" t="s">
        <v>289</v>
      </c>
    </row>
    <row r="25" spans="1:4" ht="16.2">
      <c r="A25" s="5" t="s">
        <v>290</v>
      </c>
      <c r="C25" s="12" t="s">
        <v>247</v>
      </c>
      <c r="D25" s="13" t="s">
        <v>291</v>
      </c>
    </row>
    <row r="26" spans="1:4" ht="16.2">
      <c r="A26" s="5" t="s">
        <v>292</v>
      </c>
      <c r="C26" s="12" t="s">
        <v>247</v>
      </c>
      <c r="D26" s="13" t="s">
        <v>293</v>
      </c>
    </row>
    <row r="27" spans="1:4" ht="16.2">
      <c r="A27" s="5" t="s">
        <v>295</v>
      </c>
      <c r="C27" s="12" t="s">
        <v>247</v>
      </c>
      <c r="D27" s="13" t="s">
        <v>296</v>
      </c>
    </row>
    <row r="28" spans="1:4" ht="16.2">
      <c r="A28" s="5" t="s">
        <v>297</v>
      </c>
      <c r="C28" s="12" t="s">
        <v>247</v>
      </c>
      <c r="D28" s="13" t="s">
        <v>298</v>
      </c>
    </row>
    <row r="29" spans="1:4" ht="16.2">
      <c r="A29" s="5" t="s">
        <v>299</v>
      </c>
      <c r="C29" s="12" t="s">
        <v>247</v>
      </c>
      <c r="D29" s="13" t="s">
        <v>300</v>
      </c>
    </row>
    <row r="30" spans="1:4" ht="16.2">
      <c r="A30" s="5" t="s">
        <v>301</v>
      </c>
      <c r="C30" s="12" t="s">
        <v>247</v>
      </c>
      <c r="D30" s="13" t="s">
        <v>302</v>
      </c>
    </row>
    <row r="31" spans="1:4" ht="16.2">
      <c r="A31" s="5" t="s">
        <v>303</v>
      </c>
      <c r="C31" s="12" t="s">
        <v>247</v>
      </c>
      <c r="D31" s="13" t="s">
        <v>304</v>
      </c>
    </row>
    <row r="32" spans="1:4" ht="16.2">
      <c r="A32" s="5" t="s">
        <v>305</v>
      </c>
      <c r="C32" s="12" t="s">
        <v>247</v>
      </c>
      <c r="D32" s="13" t="s">
        <v>306</v>
      </c>
    </row>
    <row r="33" spans="1:4" ht="16.2">
      <c r="A33" s="5" t="s">
        <v>307</v>
      </c>
      <c r="C33" s="12" t="s">
        <v>247</v>
      </c>
      <c r="D33" s="13" t="s">
        <v>308</v>
      </c>
    </row>
    <row r="34" spans="1:4" ht="16.2">
      <c r="A34" s="5" t="s">
        <v>310</v>
      </c>
      <c r="C34" s="12" t="s">
        <v>247</v>
      </c>
      <c r="D34" s="13" t="s">
        <v>311</v>
      </c>
    </row>
    <row r="35" spans="1:4" ht="16.2">
      <c r="A35" s="5" t="s">
        <v>313</v>
      </c>
      <c r="C35" s="12" t="s">
        <v>247</v>
      </c>
      <c r="D35" s="13" t="s">
        <v>314</v>
      </c>
    </row>
    <row r="36" spans="1:4" ht="16.2">
      <c r="A36" s="5" t="s">
        <v>316</v>
      </c>
      <c r="C36" s="12" t="s">
        <v>247</v>
      </c>
      <c r="D36" s="13" t="s">
        <v>317</v>
      </c>
    </row>
    <row r="37" spans="1:4" ht="16.2">
      <c r="A37" s="5" t="s">
        <v>319</v>
      </c>
      <c r="C37" s="12" t="s">
        <v>247</v>
      </c>
      <c r="D37" s="13" t="s">
        <v>320</v>
      </c>
    </row>
    <row r="38" spans="1:4" ht="16.2">
      <c r="A38" s="5" t="s">
        <v>322</v>
      </c>
      <c r="C38" s="12" t="s">
        <v>247</v>
      </c>
      <c r="D38" s="13" t="s">
        <v>323</v>
      </c>
    </row>
    <row r="39" spans="1:4" ht="16.2">
      <c r="A39" s="5" t="s">
        <v>325</v>
      </c>
      <c r="C39" s="12" t="s">
        <v>247</v>
      </c>
      <c r="D39" s="13" t="s">
        <v>326</v>
      </c>
    </row>
    <row r="40" spans="1:4" ht="16.2">
      <c r="A40" s="5" t="s">
        <v>328</v>
      </c>
      <c r="C40" s="12" t="s">
        <v>247</v>
      </c>
      <c r="D40" s="13" t="s">
        <v>329</v>
      </c>
    </row>
    <row r="41" spans="1:4" ht="16.2">
      <c r="A41" s="5" t="s">
        <v>331</v>
      </c>
      <c r="C41" s="12" t="s">
        <v>247</v>
      </c>
      <c r="D41" s="13" t="s">
        <v>332</v>
      </c>
    </row>
    <row r="42" spans="1:4" ht="16.2">
      <c r="A42" s="5" t="s">
        <v>334</v>
      </c>
      <c r="C42" s="12" t="s">
        <v>247</v>
      </c>
      <c r="D42" s="13" t="s">
        <v>335</v>
      </c>
    </row>
    <row r="43" spans="1:4" ht="16.2">
      <c r="A43" s="5" t="s">
        <v>337</v>
      </c>
      <c r="C43" s="12" t="s">
        <v>247</v>
      </c>
      <c r="D43" s="13" t="s">
        <v>338</v>
      </c>
    </row>
    <row r="44" spans="1:4" ht="16.2">
      <c r="A44" s="5" t="s">
        <v>340</v>
      </c>
      <c r="C44" s="12" t="s">
        <v>247</v>
      </c>
      <c r="D44" s="13" t="s">
        <v>341</v>
      </c>
    </row>
    <row r="45" spans="1:4" ht="16.2">
      <c r="A45" s="5" t="s">
        <v>342</v>
      </c>
      <c r="C45" s="12" t="s">
        <v>247</v>
      </c>
      <c r="D45" s="13" t="s">
        <v>343</v>
      </c>
    </row>
    <row r="46" spans="1:4" ht="16.2">
      <c r="A46" s="5" t="s">
        <v>345</v>
      </c>
      <c r="C46" s="12" t="s">
        <v>247</v>
      </c>
      <c r="D46" s="13" t="s">
        <v>346</v>
      </c>
    </row>
    <row r="47" spans="1:4" ht="16.2">
      <c r="A47" s="5" t="s">
        <v>348</v>
      </c>
      <c r="C47" s="12" t="s">
        <v>247</v>
      </c>
      <c r="D47" s="13" t="s">
        <v>349</v>
      </c>
    </row>
    <row r="48" spans="1:4" ht="16.2">
      <c r="A48" s="5" t="s">
        <v>350</v>
      </c>
      <c r="C48" s="12" t="s">
        <v>247</v>
      </c>
      <c r="D48" s="13" t="s">
        <v>351</v>
      </c>
    </row>
    <row r="49" spans="1:4" ht="16.8"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3.8" thickBot="1">
      <c r="C1749" s="14" t="s">
        <v>353</v>
      </c>
      <c r="D1749" s="15" t="s">
        <v>2007</v>
      </c>
    </row>
  </sheetData>
  <phoneticPr fontId="6"/>
  <dataValidations count="1">
    <dataValidation type="list" allowBlank="1" showInputMessage="1" showErrorMessage="1" sqref="G9" xr:uid="{00000000-0002-0000-0D00-000000000000}">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J73"/>
  <sheetViews>
    <sheetView showGridLines="0" view="pageBreakPreview" topLeftCell="A27"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2119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東京都</v>
      </c>
      <c r="AJ1" s="1204"/>
      <c r="AK1" s="1204"/>
      <c r="AL1" s="1204"/>
      <c r="AM1" s="1204"/>
      <c r="AN1" s="1204"/>
      <c r="AO1" s="1204"/>
      <c r="AP1" s="1204"/>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76"/>
      <c r="AR2" s="76"/>
      <c r="CE2" s="992" t="s">
        <v>2193</v>
      </c>
      <c r="CF2" s="992"/>
      <c r="CG2" s="992"/>
      <c r="CH2" s="992"/>
      <c r="CI2" s="1208">
        <f>IF(AI1&lt;&gt;"",1,"")</f>
        <v>1</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2345</v>
      </c>
      <c r="Q5" s="1010"/>
      <c r="R5" s="1010"/>
      <c r="S5" s="1010"/>
      <c r="T5" s="1010"/>
      <c r="U5" s="1010"/>
      <c r="V5" s="1010"/>
      <c r="W5" s="1010"/>
      <c r="X5" s="1011"/>
      <c r="Y5" s="1086" t="s">
        <v>2250</v>
      </c>
      <c r="Z5" s="1086"/>
      <c r="AA5" s="1086"/>
      <c r="AB5" s="1086"/>
      <c r="AC5" s="1086"/>
      <c r="AD5" s="1086"/>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5" t="str">
        <f>IF(OR(V8="新加算Ⅰ",V8="新加算Ⅱ",V8="新加算Ⅲ",V8="新加算Ⅴ(１)",V8="新加算Ⅴ(３)",V8="新加算Ⅴ(８)"),"○","")</f>
        <v>○</v>
      </c>
      <c r="AX8" s="1205" t="str">
        <f>IF(OR(V8="新加算Ⅰ",V8="新加算Ⅱ",V8="新加算Ⅴ(１)",V8="新加算Ⅴ(２)",V8="新加算Ⅴ(３)",V8="新加算Ⅴ(４)",V8="新加算Ⅴ(５)",V8="新加算Ⅴ(６)",V8="新加算Ⅴ(７)",V8="新加算Ⅴ(９)",V8="新加算Ⅴ(10)",V8="新加算Ⅴ(12)"),"○","")</f>
        <v>○</v>
      </c>
      <c r="AY8" s="1205" t="str">
        <f>IF(OR(V8="新加算Ⅰ",V8="新加算Ⅴ(１)",V8="新加算Ⅴ(２)",V8="新加算Ⅴ(５)",V8="新加算Ⅴ(７)",V8="新加算Ⅴ(10)"),"○","")</f>
        <v>○</v>
      </c>
      <c r="AZ8" s="1205" t="str">
        <f>IF(OR(V8="新加算Ⅰ",V8="新加算Ⅱ",V8="新加算Ⅴ(１)",V8="新加算Ⅴ(２)",V8="新加算Ⅴ(３)",V8="新加算Ⅴ(４)",V8="新加算Ⅴ(５)",V8="新加算Ⅴ(６)",V8="新加算Ⅴ(７)",V8="新加算Ⅴ(９)",V8="新加算Ⅴ(10)",V8="新加算Ⅴ(12)"),"○","")</f>
        <v>○</v>
      </c>
      <c r="BA8" s="84"/>
      <c r="CE8" s="1212" t="s">
        <v>2188</v>
      </c>
      <c r="CF8" s="1212"/>
      <c r="CG8" s="1212"/>
      <c r="CH8" s="1212"/>
      <c r="CI8" s="990" t="str">
        <f>IF(AND(AP62=1,AL41=""),1,"")</f>
        <v/>
      </c>
      <c r="CJ8" s="991"/>
    </row>
    <row r="9" spans="1:88" ht="26.25" customHeight="1">
      <c r="B9" s="1124" t="s">
        <v>7</v>
      </c>
      <c r="C9" s="1125"/>
      <c r="D9" s="1125"/>
      <c r="E9" s="1125"/>
      <c r="F9" s="1126"/>
      <c r="G9" s="1127" t="s">
        <v>234</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f>IF(OR(AH62=1,AP62=1),1,"")</f>
        <v>1</v>
      </c>
      <c r="CJ9" s="991"/>
    </row>
    <row r="10" spans="1:88" ht="11.25" customHeight="1">
      <c r="B10" s="1133">
        <f>IFERROR(VLOOKUP(Y5,【参考】数式用!$A$5:$J$37,MATCH(B9,【参考】数式用!$B$4:$J$4,0)+1,0),"")</f>
        <v>8.5999999999999993E-2</v>
      </c>
      <c r="C10" s="1134"/>
      <c r="D10" s="1134"/>
      <c r="E10" s="1134"/>
      <c r="F10" s="1135"/>
      <c r="G10" s="1133">
        <f>IFERROR(VLOOKUP(Y5,【参考】数式用!$A$5:$J$37,MATCH(G9,【参考】数式用!$B$4:$J$4,0)+1,0),"")</f>
        <v>2.1000000000000001E-2</v>
      </c>
      <c r="H10" s="1134"/>
      <c r="I10" s="1134"/>
      <c r="J10" s="1134"/>
      <c r="K10" s="1135"/>
      <c r="L10" s="1139">
        <f>IFERROR(VLOOKUP(Y5,【参考】数式用!$A$5:$J$37,MATCH(L9,【参考】数式用!$B$4:$J$4,0)+1,0),"")</f>
        <v>0</v>
      </c>
      <c r="M10" s="1140"/>
      <c r="N10" s="1140"/>
      <c r="O10" s="1140"/>
      <c r="P10" s="1141"/>
      <c r="Q10" s="1145">
        <f>SUM(B10,G10,L10)</f>
        <v>0.107</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新加算Ⅴ(１)</v>
      </c>
      <c r="W11" s="1075"/>
      <c r="X11" s="1075"/>
      <c r="Y11" s="1075"/>
      <c r="Z11" s="1075"/>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5" t="str">
        <f>IF(OR(V11="新加算Ⅰ",V11="新加算Ⅱ",V11="新加算Ⅲ",V11="新加算Ⅴ(１)",V11="新加算Ⅴ(３)",V11="新加算Ⅴ(８)"),"○","")</f>
        <v>○</v>
      </c>
      <c r="AX11" s="1205" t="str">
        <f>IF(OR(V11="新加算Ⅰ",V11="新加算Ⅱ",V11="新加算Ⅴ(１)",V11="新加算Ⅴ(２)",V11="新加算Ⅴ(３)",V11="新加算Ⅴ(４)",V11="新加算Ⅴ(５)",V11="新加算Ⅴ(６)",V11="新加算Ⅴ(７)",V11="新加算Ⅴ(９)",V11="新加算Ⅴ(10)",V11="新加算Ⅴ(12)"),"○","")</f>
        <v>○</v>
      </c>
      <c r="AY11" s="1205" t="str">
        <f>IF(OR(V11="新加算Ⅰ",V11="新加算Ⅴ(１)",V11="新加算Ⅴ(２)",V11="新加算Ⅴ(５)",V11="新加算Ⅴ(７)",V11="新加算Ⅴ(10)"),"○","")</f>
        <v>○</v>
      </c>
      <c r="AZ11" s="1205"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33"/>
      <c r="U12" s="1023"/>
      <c r="V12" s="1074">
        <f>IFERROR(VLOOKUP(Y5,【参考】数式用!$A$5:$AB$37,MATCH(V11,【参考】数式用!$B$4:$AB$4,0)+1,FALSE),"")</f>
        <v>0.13100000000000001</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102"/>
      <c r="V14" s="1075" t="str">
        <f>IFERROR(IF(VLOOKUP(AS1,【参考】数式用2!E6:L23,7,FALSE)="","",VLOOKUP(AS1,【参考】数式用2!E6:L23,7,FALSE)),"")</f>
        <v/>
      </c>
      <c r="W14" s="1075"/>
      <c r="X14" s="1075"/>
      <c r="Y14" s="1075"/>
      <c r="Z14" s="1075"/>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103" t="s">
        <v>2111</v>
      </c>
      <c r="F15" s="54">
        <v>4</v>
      </c>
      <c r="G15" s="103" t="s">
        <v>2112</v>
      </c>
      <c r="H15" s="1059" t="s">
        <v>2113</v>
      </c>
      <c r="I15" s="1059"/>
      <c r="J15" s="1072"/>
      <c r="K15" s="54">
        <v>7</v>
      </c>
      <c r="L15" s="103" t="s">
        <v>2111</v>
      </c>
      <c r="M15" s="54">
        <v>3</v>
      </c>
      <c r="N15" s="103" t="s">
        <v>2112</v>
      </c>
      <c r="O15" s="103" t="s">
        <v>2114</v>
      </c>
      <c r="P15" s="104">
        <f>(K15*12+M15)-(D15*12+F15)+1</f>
        <v>12</v>
      </c>
      <c r="Q15" s="1059" t="s">
        <v>2115</v>
      </c>
      <c r="R15" s="1059"/>
      <c r="S15" s="105" t="s">
        <v>69</v>
      </c>
      <c r="U15" s="102"/>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11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119" t="str">
        <f>IFERROR(IF(OR(B9="処遇加算Ⅰ",B9="処遇加算Ⅱ"),"✓",""),"")</f>
        <v>✓</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119"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119"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119" t="str">
        <f>IFERROR(IF(OR(B9="処遇加算Ⅰ",B9="処遇加算Ⅱ"),"✓",""),"")</f>
        <v>✓</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119"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119"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119" t="str">
        <f>IFERROR(IF(B9="処遇加算Ⅰ","✓",""),"")</f>
        <v>✓</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119"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119" t="str">
        <f>IFERROR(IF(OR(G9="特定加算Ⅰ",G9="特定加算Ⅱ"),"✓",""),"")</f>
        <v>✓</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119" t="str">
        <f>IFERROR(IF(G9="特定加算なし","✓",""),"")</f>
        <v/>
      </c>
      <c r="W37" s="1053" t="s">
        <v>15</v>
      </c>
      <c r="X37" s="1054"/>
      <c r="Y37" s="1054"/>
      <c r="Z37" s="1055"/>
      <c r="AA37" s="1022"/>
      <c r="AB37" s="1023"/>
      <c r="AC37" s="1047" t="s">
        <v>2176</v>
      </c>
      <c r="AD37" s="1048"/>
      <c r="AE37" s="1048"/>
      <c r="AF37" s="1048"/>
      <c r="AG37" s="1049">
        <v>0</v>
      </c>
      <c r="AH37" s="1050"/>
      <c r="AI37" s="1022"/>
      <c r="AJ37" s="1023"/>
      <c r="AK37" s="1047" t="s">
        <v>2176</v>
      </c>
      <c r="AL37" s="1048"/>
      <c r="AM37" s="1048"/>
      <c r="AN37" s="1048"/>
      <c r="AO37" s="1049">
        <v>1</v>
      </c>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対象加算なし（自動的に要件を満たす）</v>
      </c>
      <c r="H40" s="1077"/>
      <c r="I40" s="1077"/>
      <c r="J40" s="1077"/>
      <c r="K40" s="1077"/>
      <c r="L40" s="1077"/>
      <c r="M40" s="1077"/>
      <c r="N40" s="1077"/>
      <c r="O40" s="1077"/>
      <c r="P40" s="1077"/>
      <c r="Q40" s="1077"/>
      <c r="R40" s="1077"/>
      <c r="S40" s="1077"/>
      <c r="T40" s="1078"/>
      <c r="U40" s="92"/>
      <c r="V40" s="119" t="str">
        <f>IFERROR(IF(G9="特定加算Ⅰ","✓",""),"")</f>
        <v>✓</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119" t="str">
        <f>IFERROR(IF(OR(G9="特定加算Ⅱ",G9="特定加算なし"),"✓",""),"")</f>
        <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2374</v>
      </c>
      <c r="H44" s="1077"/>
      <c r="I44" s="1077"/>
      <c r="J44" s="1077"/>
      <c r="K44" s="1077"/>
      <c r="L44" s="1077"/>
      <c r="M44" s="1077"/>
      <c r="N44" s="1077"/>
      <c r="O44" s="1077"/>
      <c r="P44" s="1077"/>
      <c r="Q44" s="1077"/>
      <c r="R44" s="1077"/>
      <c r="S44" s="1077"/>
      <c r="T44" s="1078"/>
      <c r="U44" s="118"/>
      <c r="V44" s="119" t="str">
        <f>IFERROR(IF(OR(G9="特定加算Ⅰ",G9="特定加算Ⅱ"),"✓",""),"")</f>
        <v>✓</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11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処遇加算Ⅰ</v>
      </c>
      <c r="AT48" s="1041"/>
      <c r="AU48" s="1041"/>
      <c r="AV48" s="1041"/>
      <c r="AW48" s="1041" t="str">
        <f>IFERROR(IF(AND(OR(AP61=1,AP61=2),AP62=1,AP63=1),"特定加算Ⅰ",IF(AND(OR(AP61=1,AP61=2),AP62=2,AP63=1),"特定加算Ⅱ",IF(OR(AP61=3,AP62=2,AP63=2),"特定加算なし",""))),"")</f>
        <v>特定加算Ⅰ</v>
      </c>
      <c r="AX48" s="1041"/>
      <c r="AY48" s="1041"/>
      <c r="AZ48" s="1041"/>
      <c r="BA48" s="1041" t="str">
        <f>IFERROR(IF(OR(L9="ベア加算",AP57=1),"ベア加算",IF(AP57=2,"ベア加算なし","")),"")</f>
        <v>ベア加算</v>
      </c>
      <c r="BB48" s="1041"/>
      <c r="BC48" s="1041"/>
      <c r="BD48" s="1041"/>
      <c r="BE48" s="1042" t="str">
        <f>AS48&amp;AW48&amp;BA48</f>
        <v>処遇加算Ⅰ特定加算Ⅰベア加算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194" t="str">
        <f>IFERROR(IF(G9="","",IF(AND(OR(AH61=1,AH61=2),AH62=1,AH63=1),"特定加算Ⅰ",IF(AND(OR(AH61=1,AH61=2),AH62=2,AH63=1),"特定加算Ⅱ",IF(OR(AH61=3,AH62=2,AH63=2),"特定加算なし","")))),"")</f>
        <v>特定加算Ⅰ</v>
      </c>
      <c r="M49" s="1195"/>
      <c r="N49" s="1195"/>
      <c r="O49" s="1195"/>
      <c r="P49" s="1196"/>
      <c r="Q49" s="1163" t="str">
        <f>IFERROR(IF(OR(L9="ベア加算",AND(L9="ベア加算なし",AH57=1)),"ベア加算",IF(AH57=2,"ベア加算なし","")),"")</f>
        <v>ベア加算</v>
      </c>
      <c r="R49" s="1164"/>
      <c r="S49" s="1164"/>
      <c r="T49" s="1164"/>
      <c r="U49" s="1165"/>
      <c r="V49" s="1166" t="s">
        <v>10</v>
      </c>
      <c r="W49" s="1167"/>
      <c r="X49" s="1167"/>
      <c r="Y49" s="1167"/>
      <c r="Z49" s="1167"/>
      <c r="AA49" s="1033"/>
      <c r="AB49" s="1033"/>
      <c r="AC49" s="1173" t="str">
        <f>IFERROR(VLOOKUP(BE48,【参考】数式用2!E6:F23,2,FALSE),"")</f>
        <v>新加算Ⅰ</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8.5999999999999993E-2</v>
      </c>
      <c r="H50" s="1177"/>
      <c r="I50" s="1177"/>
      <c r="J50" s="1177"/>
      <c r="K50" s="1178"/>
      <c r="L50" s="1179">
        <f>IFERROR(VLOOKUP(Y5,【参考】数式用!$A$5:$J$37,MATCH(L49,【参考】数式用!$B$4:$J$4,0)+1,0),"")</f>
        <v>2.1000000000000001E-2</v>
      </c>
      <c r="M50" s="1180"/>
      <c r="N50" s="1180"/>
      <c r="O50" s="1180"/>
      <c r="P50" s="1181"/>
      <c r="Q50" s="1182">
        <f>IFERROR(VLOOKUP(Y5,【参考】数式用!$A$5:$J$37,MATCH(Q49,【参考】数式用!$B$4:$J$4,0)+1,0),"")</f>
        <v>2.8000000000000001E-2</v>
      </c>
      <c r="R50" s="1177"/>
      <c r="S50" s="1177"/>
      <c r="T50" s="1177"/>
      <c r="U50" s="1183"/>
      <c r="V50" s="1145">
        <f>SUM(G50,L50,Q50)</f>
        <v>0.13500000000000001</v>
      </c>
      <c r="W50" s="1146"/>
      <c r="X50" s="1146"/>
      <c r="Y50" s="1146"/>
      <c r="Z50" s="1146"/>
      <c r="AA50" s="1033"/>
      <c r="AB50" s="1033"/>
      <c r="AC50" s="1184">
        <f>IFERROR(VLOOKUP(Y5,【参考】数式用!$A$5:$AB$37,MATCH(AC49,【参考】数式用!$B$4:$AB$4,0)+1,FALSE),"")</f>
        <v>0.159</v>
      </c>
      <c r="AD50" s="1185"/>
      <c r="AE50" s="1185"/>
      <c r="AF50" s="1185"/>
      <c r="AG50" s="1185"/>
      <c r="AH50" s="1186"/>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f>IFERROR(ROUNDDOWN(ROUND(AM5*G50,0),0)*H53,"")</f>
        <v>318200</v>
      </c>
      <c r="H51" s="1092"/>
      <c r="I51" s="1092"/>
      <c r="J51" s="1092"/>
      <c r="K51" s="55" t="s">
        <v>2117</v>
      </c>
      <c r="L51" s="1089">
        <f>IFERROR(ROUNDDOWN(ROUND(AM5*L50,0),0)*H53,"")</f>
        <v>77700</v>
      </c>
      <c r="M51" s="1090"/>
      <c r="N51" s="1090"/>
      <c r="O51" s="1090"/>
      <c r="P51" s="55" t="s">
        <v>2117</v>
      </c>
      <c r="Q51" s="1091">
        <f>IFERROR(ROUNDDOWN(ROUND(AM5*Q50,0),0)*H53,"")</f>
        <v>103600</v>
      </c>
      <c r="R51" s="1092"/>
      <c r="S51" s="1092"/>
      <c r="T51" s="1092"/>
      <c r="U51" s="56" t="s">
        <v>2117</v>
      </c>
      <c r="V51" s="1192">
        <f>IFERROR(SUM(G51,L51,Q51),"")</f>
        <v>499500</v>
      </c>
      <c r="W51" s="1193"/>
      <c r="X51" s="1193"/>
      <c r="Y51" s="1193"/>
      <c r="Z51" s="57" t="s">
        <v>2117</v>
      </c>
      <c r="AB51" s="58"/>
      <c r="AC51" s="1091">
        <f>IFERROR(ROUNDDOWN(ROUND(AM5*AC50,0),0)*AD53,"")</f>
        <v>2941500</v>
      </c>
      <c r="AD51" s="1092"/>
      <c r="AE51" s="1092"/>
      <c r="AF51" s="1092"/>
      <c r="AG51" s="1092"/>
      <c r="AH51" s="56" t="s">
        <v>2117</v>
      </c>
      <c r="AS51" s="1043">
        <f>IFERROR(ROUNDDOWN(ROUND(AM5*(G50-B10),0),0)*H53,"")</f>
        <v>0</v>
      </c>
      <c r="AT51" s="1043"/>
      <c r="AU51" s="1043"/>
      <c r="AV51" s="1043"/>
      <c r="AW51" s="1043">
        <f>IFERROR(ROUNDDOWN(ROUND(AM5*(L50-G10),0),0)*H53,"")</f>
        <v>0</v>
      </c>
      <c r="AX51" s="1043"/>
      <c r="AY51" s="1043"/>
      <c r="AZ51" s="1043"/>
      <c r="BA51" s="1043">
        <f>IFERROR(ROUNDDOWN(ROUND(AM5*(Q50-L10),0),0)*H53,"")</f>
        <v>103600</v>
      </c>
      <c r="BB51" s="1043"/>
      <c r="BC51" s="1043"/>
      <c r="BD51" s="1043"/>
      <c r="BE51" s="1043">
        <f>IFERROR(ROUNDDOWN(ROUND(AM5*(AC50-Q10),0),0)*AD53,"")</f>
        <v>962000</v>
      </c>
      <c r="BF51" s="1043"/>
      <c r="BG51" s="1043"/>
      <c r="BH51" s="1043"/>
      <c r="BI51" s="1043">
        <f>SUM(AS51:BH51)</f>
        <v>1065600</v>
      </c>
      <c r="BJ51" s="1043"/>
      <c r="BK51" s="1043"/>
      <c r="BL51" s="1043"/>
      <c r="BM51" s="141"/>
      <c r="BN51" s="1043">
        <f>IFERROR(ROUNDDOWN(ROUNDDOWN(ROUND(AM5*(VLOOKUP(Y5,【参考】数式用!$A$5:$AB$37,14,FALSE)),0),0)*AD53*0.5,0),"")</f>
        <v>1063750</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(159,100円/月)</v>
      </c>
      <c r="H52" s="1088"/>
      <c r="I52" s="1088"/>
      <c r="J52" s="1088"/>
      <c r="K52" s="1088"/>
      <c r="L52" s="1190" t="str">
        <f>IFERROR("("&amp;TEXT(L51/H53,"#,##0円")&amp;"/月)","")</f>
        <v>(38,850円/月)</v>
      </c>
      <c r="M52" s="1191"/>
      <c r="N52" s="1191"/>
      <c r="O52" s="1191"/>
      <c r="P52" s="1087"/>
      <c r="Q52" s="1088" t="str">
        <f>IFERROR("("&amp;TEXT(Q51/H53,"#,##0円")&amp;"/月)","")</f>
        <v>(51,800円/月)</v>
      </c>
      <c r="R52" s="1088"/>
      <c r="S52" s="1088"/>
      <c r="T52" s="1088"/>
      <c r="U52" s="1088"/>
      <c r="V52" s="1088" t="str">
        <f>IFERROR("("&amp;TEXT(V51/H53,"#,##0円")&amp;"/月)","")</f>
        <v>(249,750円/月)</v>
      </c>
      <c r="W52" s="1088"/>
      <c r="X52" s="1088"/>
      <c r="Y52" s="1088"/>
      <c r="Z52" s="1088"/>
      <c r="AB52" s="58"/>
      <c r="AC52" s="1190" t="str">
        <f>IFERROR("("&amp;TEXT(AC51/AD53,"#,##0円")&amp;"/月)","")</f>
        <v>(294,150円/月)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216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2056</v>
      </c>
      <c r="V58" s="1046"/>
      <c r="W58" s="1046"/>
      <c r="X58" s="1046"/>
      <c r="Y58" s="1046"/>
      <c r="Z58" s="152">
        <f>IF(AND(B9&lt;&gt;"処遇加算なし",F15=4),IF(V24="✓",1,IF(V25="✓",2,IF(V26="✓",3,""))),"")</f>
        <v>1</v>
      </c>
      <c r="AA58" s="145"/>
      <c r="AB58" s="149"/>
      <c r="AC58" s="1046" t="s">
        <v>2056</v>
      </c>
      <c r="AD58" s="1046"/>
      <c r="AE58" s="1046"/>
      <c r="AF58" s="1046"/>
      <c r="AG58" s="1046"/>
      <c r="AH58" s="425">
        <f>IF(AND(F15&lt;&gt;4,F15&lt;&gt;5),0,IF(AU8="○",1,3))</f>
        <v>1</v>
      </c>
      <c r="AI58" s="153"/>
      <c r="AJ58" s="149"/>
      <c r="AK58" s="1046" t="s">
        <v>2056</v>
      </c>
      <c r="AL58" s="1046"/>
      <c r="AM58" s="1046"/>
      <c r="AN58" s="1046"/>
      <c r="AO58" s="1046"/>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2057</v>
      </c>
      <c r="V59" s="1046"/>
      <c r="W59" s="1046"/>
      <c r="X59" s="1046"/>
      <c r="Y59" s="1046"/>
      <c r="Z59" s="152">
        <f>IF(AND(B9&lt;&gt;"処遇加算なし",F15=4),IF(V28="✓",1,IF(V29="✓",2,IF(V30="✓",3,""))),"")</f>
        <v>1</v>
      </c>
      <c r="AA59" s="145"/>
      <c r="AB59" s="149"/>
      <c r="AC59" s="1046" t="s">
        <v>2057</v>
      </c>
      <c r="AD59" s="1046"/>
      <c r="AE59" s="1046"/>
      <c r="AF59" s="1046"/>
      <c r="AG59" s="1046"/>
      <c r="AH59" s="425">
        <f>IF(AND(F15&lt;&gt;4,F15&lt;&gt;5),0,IF(AV8="○",1,3))</f>
        <v>1</v>
      </c>
      <c r="AI59" s="153"/>
      <c r="AJ59" s="149"/>
      <c r="AK59" s="1046" t="s">
        <v>2057</v>
      </c>
      <c r="AL59" s="1046"/>
      <c r="AM59" s="1046"/>
      <c r="AN59" s="1046"/>
      <c r="AO59" s="1046"/>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2058</v>
      </c>
      <c r="V60" s="1046"/>
      <c r="W60" s="1046"/>
      <c r="X60" s="1046"/>
      <c r="Y60" s="1046"/>
      <c r="Z60" s="152">
        <f>IF(AND(B9&lt;&gt;"処遇加算なし",F15=4),IF(V32="✓",1,IF(V33="✓",2,"")),"")</f>
        <v>1</v>
      </c>
      <c r="AA60" s="145"/>
      <c r="AB60" s="149"/>
      <c r="AC60" s="1046" t="s">
        <v>2058</v>
      </c>
      <c r="AD60" s="1046"/>
      <c r="AE60" s="1046"/>
      <c r="AF60" s="1046"/>
      <c r="AG60" s="1046"/>
      <c r="AH60" s="425">
        <f>IF(AND(F15&lt;&gt;4,F15&lt;&gt;5),0,IF(AW8="○",1,3))</f>
        <v>1</v>
      </c>
      <c r="AI60" s="153"/>
      <c r="AJ60" s="149"/>
      <c r="AK60" s="1046" t="s">
        <v>2058</v>
      </c>
      <c r="AL60" s="1046"/>
      <c r="AM60" s="1046"/>
      <c r="AN60" s="1046"/>
      <c r="AO60" s="1046"/>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2059</v>
      </c>
      <c r="V61" s="1046"/>
      <c r="W61" s="1046"/>
      <c r="X61" s="1046"/>
      <c r="Y61" s="1046"/>
      <c r="Z61" s="152">
        <f>IF(AND(B9&lt;&gt;"処遇加算なし",F15=4),IF(V36="✓",1,IF(V37="✓",2,"")),"")</f>
        <v>1</v>
      </c>
      <c r="AA61" s="145"/>
      <c r="AB61" s="149"/>
      <c r="AC61" s="1046" t="s">
        <v>2059</v>
      </c>
      <c r="AD61" s="1046"/>
      <c r="AE61" s="1046"/>
      <c r="AF61" s="1046"/>
      <c r="AG61" s="1046"/>
      <c r="AH61" s="425">
        <f>IF(AND(F15&lt;&gt;4,F15&lt;&gt;5),0,IF(AX8="○",1,2))</f>
        <v>1</v>
      </c>
      <c r="AI61" s="153"/>
      <c r="AJ61" s="149"/>
      <c r="AK61" s="1046" t="s">
        <v>2059</v>
      </c>
      <c r="AL61" s="1046"/>
      <c r="AM61" s="1046"/>
      <c r="AN61" s="1046"/>
      <c r="AO61" s="1046"/>
      <c r="AP61" s="425">
        <f>IF(AX8="○",1,2)</f>
        <v>1</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2060</v>
      </c>
      <c r="V62" s="1046"/>
      <c r="W62" s="1046"/>
      <c r="X62" s="1046"/>
      <c r="Y62" s="1046"/>
      <c r="Z62" s="152">
        <f>IF(AND(B9&lt;&gt;"処遇加算なし",F15=4),IF(V40="✓",1,IF(V41="✓",2,"")),"")</f>
        <v>1</v>
      </c>
      <c r="AA62" s="145"/>
      <c r="AB62" s="149"/>
      <c r="AC62" s="1046" t="s">
        <v>2060</v>
      </c>
      <c r="AD62" s="1046"/>
      <c r="AE62" s="1046"/>
      <c r="AF62" s="1046"/>
      <c r="AG62" s="1046"/>
      <c r="AH62" s="425">
        <f>IF(AND(F15&lt;&gt;4,F15&lt;&gt;5),0,IF(AY8="○",1,2))</f>
        <v>1</v>
      </c>
      <c r="AI62" s="153"/>
      <c r="AJ62" s="149"/>
      <c r="AK62" s="1046" t="s">
        <v>2060</v>
      </c>
      <c r="AL62" s="1046"/>
      <c r="AM62" s="1046"/>
      <c r="AN62" s="1046"/>
      <c r="AO62" s="1046"/>
      <c r="AP62" s="425">
        <f>IF(AY8="○",1,2)</f>
        <v>1</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SUM('別紙様式6-2 事業所個票１'!BU51)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100-000000000000}">
      <formula1>サービス名</formula1>
    </dataValidation>
    <dataValidation type="list" allowBlank="1" showInputMessage="1" showErrorMessage="1" sqref="M5:O5" xr:uid="{00000000-0002-0000-0100-000001000000}">
      <formula1>INDIRECT(J5)</formula1>
    </dataValidation>
    <dataValidation type="list" allowBlank="1" showInputMessage="1" showErrorMessage="1" sqref="M15:M16" xr:uid="{00000000-0002-0000-0100-000002000000}">
      <formula1>"1,2,3,6,7,8,9,10,11,12"</formula1>
    </dataValidation>
    <dataValidation type="list" allowBlank="1" showInputMessage="1" showErrorMessage="1" sqref="K15:K16 D15:D16" xr:uid="{00000000-0002-0000-01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100-000004000000}">
      <formula1>10</formula1>
    </dataValidation>
    <dataValidation type="list" allowBlank="1" showInputMessage="1" showErrorMessage="1" sqref="AD41:AH41" xr:uid="{00000000-0002-0000-0100-000005000000}">
      <formula1>INDIRECT(BF1)</formula1>
    </dataValidation>
    <dataValidation type="list" allowBlank="1" showInputMessage="1" showErrorMessage="1" sqref="AL41:AP41" xr:uid="{00000000-0002-0000-0100-000006000000}">
      <formula1>INDIRECT(BF1)</formula1>
    </dataValidation>
    <dataValidation type="whole" operator="greaterThanOrEqual" allowBlank="1" showInputMessage="1" showErrorMessage="1" prompt="要件を満たす職員数を記入してください。" sqref="AG37:AH37 AO37:AP37" xr:uid="{00000000-0002-0000-01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129540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15240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91440</xdr:colOff>
                    <xdr:row>42</xdr:row>
                    <xdr:rowOff>91440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15240</xdr:rowOff>
                  </from>
                  <to>
                    <xdr:col>29</xdr:col>
                    <xdr:colOff>91440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167640</xdr:rowOff>
                  </from>
                  <to>
                    <xdr:col>30</xdr:col>
                    <xdr:colOff>53340</xdr:colOff>
                    <xdr:row>23</xdr:row>
                    <xdr:rowOff>91440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129540</xdr:rowOff>
                  </from>
                  <to>
                    <xdr:col>30</xdr:col>
                    <xdr:colOff>60960</xdr:colOff>
                    <xdr:row>34</xdr:row>
                    <xdr:rowOff>53340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167640</xdr:colOff>
                    <xdr:row>41</xdr:row>
                    <xdr:rowOff>205740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53340</xdr:colOff>
                    <xdr:row>34</xdr:row>
                    <xdr:rowOff>15240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129540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91440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53340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8000000}">
          <x14:formula1>
            <xm:f>【参考】数式用3!$A$3:$A$49</xm:f>
          </x14:formula1>
          <xm:sqref>J5:L5</xm:sqref>
        </x14:dataValidation>
        <x14:dataValidation type="list" allowBlank="1" showInputMessage="1" showErrorMessage="1" xr:uid="{00000000-0002-0000-0100-000009000000}">
          <x14:formula1>
            <xm:f>【参考】数式用!$I$4:$J$4</xm:f>
          </x14:formula1>
          <xm:sqref>L9</xm:sqref>
        </x14:dataValidation>
        <x14:dataValidation type="list" allowBlank="1" showInputMessage="1" showErrorMessage="1" xr:uid="{00000000-0002-0000-0100-00000A000000}">
          <x14:formula1>
            <xm:f>【参考】数式用!$F$4:$H$4</xm:f>
          </x14:formula1>
          <xm:sqref>G9</xm:sqref>
        </x14:dataValidation>
        <x14:dataValidation type="list" allowBlank="1" showInputMessage="1" showErrorMessage="1" xr:uid="{00000000-0002-0000-0100-00000B000000}">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2325</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東京都</v>
      </c>
      <c r="AJ1" s="1204"/>
      <c r="AK1" s="1204"/>
      <c r="AL1" s="1204"/>
      <c r="AM1" s="1204"/>
      <c r="AN1" s="1204"/>
      <c r="AO1" s="1204"/>
      <c r="AP1" s="1204"/>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8">
        <f>IF(AI1&lt;&gt;"",1,"")</f>
        <v>1</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f>IF(AND(L9="ベア加算",Q49="ベア加算"),1,"")</f>
        <v>1</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1334567890</v>
      </c>
      <c r="C5" s="1103"/>
      <c r="D5" s="1103"/>
      <c r="E5" s="1103"/>
      <c r="F5" s="1103"/>
      <c r="G5" s="1104" t="s">
        <v>2344</v>
      </c>
      <c r="H5" s="1104"/>
      <c r="I5" s="1104"/>
      <c r="J5" s="1105" t="s">
        <v>4</v>
      </c>
      <c r="K5" s="1105"/>
      <c r="L5" s="1105"/>
      <c r="M5" s="1106" t="s">
        <v>5</v>
      </c>
      <c r="N5" s="1106"/>
      <c r="O5" s="1106"/>
      <c r="P5" s="1009" t="s">
        <v>2352</v>
      </c>
      <c r="Q5" s="1010"/>
      <c r="R5" s="1010"/>
      <c r="S5" s="1010"/>
      <c r="T5" s="1010"/>
      <c r="U5" s="1010"/>
      <c r="V5" s="1010"/>
      <c r="W5" s="1010"/>
      <c r="X5" s="1011"/>
      <c r="Y5" s="1086" t="s">
        <v>2249</v>
      </c>
      <c r="Z5" s="1086"/>
      <c r="AA5" s="1086"/>
      <c r="AB5" s="1086"/>
      <c r="AC5" s="1086"/>
      <c r="AD5" s="1086"/>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5" t="str">
        <f>IF(OR(V8="新加算Ⅰ",V8="新加算Ⅱ",V8="新加算Ⅲ",V8="新加算Ⅴ(１)",V8="新加算Ⅴ(３)",V8="新加算Ⅴ(８)"),"○","")</f>
        <v>○</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t="s">
        <v>232</v>
      </c>
      <c r="C9" s="1125"/>
      <c r="D9" s="1125"/>
      <c r="E9" s="1125"/>
      <c r="F9" s="1126"/>
      <c r="G9" s="1127" t="s">
        <v>11</v>
      </c>
      <c r="H9" s="1128"/>
      <c r="I9" s="1128"/>
      <c r="J9" s="1128"/>
      <c r="K9" s="1129"/>
      <c r="L9" s="1130" t="s">
        <v>13</v>
      </c>
      <c r="M9" s="1131"/>
      <c r="N9" s="1131"/>
      <c r="O9" s="1131"/>
      <c r="P9" s="1132"/>
      <c r="Q9" s="1107" t="s">
        <v>2052</v>
      </c>
      <c r="R9" s="1108"/>
      <c r="S9" s="1108"/>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f>IFERROR(VLOOKUP(Y5,【参考】数式用!$A$5:$J$37,MATCH(B9,【参考】数式用!$B$4:$J$4,0)+1,0),"")</f>
        <v>1.7999999999999999E-2</v>
      </c>
      <c r="C10" s="1134"/>
      <c r="D10" s="1134"/>
      <c r="E10" s="1134"/>
      <c r="F10" s="1135"/>
      <c r="G10" s="1133">
        <f>IFERROR(VLOOKUP(Y5,【参考】数式用!$A$5:$J$37,MATCH(G9,【参考】数式用!$B$4:$J$4,0)+1,0),"")</f>
        <v>0</v>
      </c>
      <c r="H10" s="1134"/>
      <c r="I10" s="1134"/>
      <c r="J10" s="1134"/>
      <c r="K10" s="1135"/>
      <c r="L10" s="1139">
        <f>IFERROR(VLOOKUP(Y5,【参考】数式用!$A$5:$J$37,MATCH(L9,【参考】数式用!$B$4:$J$4,0)+1,0),"")</f>
        <v>1.0999999999999999E-2</v>
      </c>
      <c r="M10" s="1140"/>
      <c r="N10" s="1140"/>
      <c r="O10" s="1140"/>
      <c r="P10" s="1141"/>
      <c r="Q10" s="1145">
        <f>SUM(B10,G10,L10)</f>
        <v>2.8999999999999998E-2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新加算Ⅳ</v>
      </c>
      <c r="W11" s="1075"/>
      <c r="X11" s="1075"/>
      <c r="Y11" s="1075"/>
      <c r="Z11" s="1075"/>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33"/>
      <c r="U12" s="1023"/>
      <c r="V12" s="1074">
        <f>IFERROR(VLOOKUP(Y5,【参考】数式用!$A$5:$AB$37,MATCH(V11,【参考】数式用!$B$4:$AB$4,0)+1,FALSE),"")</f>
        <v>5.4999999999999993E-2</v>
      </c>
      <c r="W12" s="1074"/>
      <c r="X12" s="1074"/>
      <c r="Y12" s="1074"/>
      <c r="Z12" s="1074"/>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新加算Ⅴ(13)</v>
      </c>
      <c r="W14" s="1075"/>
      <c r="X14" s="1075"/>
      <c r="Y14" s="1075"/>
      <c r="Z14" s="1075"/>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f>IFERROR(VLOOKUP(Y5,【参考】数式用!$A$5:$AB$37,MATCH(V14,【参考】数式用!$B$4:$AB$4,0)+1,FALSE),"")</f>
        <v>4.0999999999999995E-2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440" t="str">
        <f>IFERROR(IF(L9="ベア加算","✓",""),"")</f>
        <v>✓</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40" t="str">
        <f>IFERROR(IF(B9="処遇加算Ⅲ","✓",""),"")</f>
        <v>✓</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40"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40" t="str">
        <f>IFERROR(IF(B9="処遇加算Ⅲ","✓",""),"")</f>
        <v>✓</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40"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v>
      </c>
      <c r="W37" s="1053" t="s">
        <v>15</v>
      </c>
      <c r="X37" s="1054"/>
      <c r="Y37" s="1054"/>
      <c r="Z37" s="1055"/>
      <c r="AA37" s="1022"/>
      <c r="AB37" s="1023"/>
      <c r="AC37" s="1047" t="s">
        <v>2176</v>
      </c>
      <c r="AD37" s="1048"/>
      <c r="AE37" s="1048"/>
      <c r="AF37" s="1048"/>
      <c r="AG37" s="1049">
        <v>0</v>
      </c>
      <c r="AH37" s="1050"/>
      <c r="AI37" s="1022"/>
      <c r="AJ37" s="1023"/>
      <c r="AK37" s="1047" t="s">
        <v>2176</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v>
      </c>
      <c r="W41" s="1053" t="s">
        <v>15</v>
      </c>
      <c r="X41" s="1054"/>
      <c r="Y41" s="1054"/>
      <c r="Z41" s="1055"/>
      <c r="AA41" s="1022"/>
      <c r="AB41" s="1023"/>
      <c r="AC41" s="134" t="s">
        <v>83</v>
      </c>
      <c r="AD41" s="1160" t="s">
        <v>2283</v>
      </c>
      <c r="AE41" s="1161"/>
      <c r="AF41" s="1161"/>
      <c r="AG41" s="1161"/>
      <c r="AH41" s="1162"/>
      <c r="AI41" s="1022"/>
      <c r="AJ41" s="1023"/>
      <c r="AK41" s="134" t="s">
        <v>83</v>
      </c>
      <c r="AL41" s="1160" t="s">
        <v>2283</v>
      </c>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処遇加算Ⅰ</v>
      </c>
      <c r="AT48" s="1041"/>
      <c r="AU48" s="1041"/>
      <c r="AV48" s="1041"/>
      <c r="AW48" s="1041" t="str">
        <f>IFERROR(IF(AND(OR(AP61=1,AP61=2),AP62=1,AP63=1),"特定加算Ⅰ",IF(AND(OR(AP61=1,AP61=2),AP62=2,AP63=1),"特定加算Ⅱ",IF(OR(AP61=3,AP62=2,AP63=2),"特定加算なし",""))),"")</f>
        <v>特定加算なし</v>
      </c>
      <c r="AX48" s="1041"/>
      <c r="AY48" s="1041"/>
      <c r="AZ48" s="1041"/>
      <c r="BA48" s="1041" t="str">
        <f>IFERROR(IF(OR(L9="ベア加算",AP57=1),"ベア加算",IF(AP57=2,"ベア加算なし","")),"")</f>
        <v>ベア加算</v>
      </c>
      <c r="BB48" s="1041"/>
      <c r="BC48" s="1041"/>
      <c r="BD48" s="1041"/>
      <c r="BE48" s="1042" t="str">
        <f>AS48&amp;AW48&amp;BA48</f>
        <v>処遇加算Ⅰ特定加算なしベア加算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処遇加算Ⅰ</v>
      </c>
      <c r="H49" s="1164"/>
      <c r="I49" s="1164"/>
      <c r="J49" s="1164"/>
      <c r="K49" s="1189"/>
      <c r="L49" s="1194" t="str">
        <f>IFERROR(IF(G9="","",IF(AND(OR(AH61=1,AH61=2),AH62=1,AH63=1),"特定加算Ⅰ",IF(AND(OR(AH61=1,AH61=2),AH62=2,AH63=1),"特定加算Ⅱ",IF(OR(AH61=3,AH62=2,AH63=2),"特定加算なし","")))),"")</f>
        <v>特定加算なし</v>
      </c>
      <c r="M49" s="1195"/>
      <c r="N49" s="1195"/>
      <c r="O49" s="1195"/>
      <c r="P49" s="1196"/>
      <c r="Q49" s="1163" t="str">
        <f>IFERROR(IF(OR(L9="ベア加算",AND(L9="ベア加算なし",AH57=1)),"ベア加算",IF(AH57=2,"ベア加算なし","")),"")</f>
        <v>ベア加算</v>
      </c>
      <c r="R49" s="1164"/>
      <c r="S49" s="1164"/>
      <c r="T49" s="1164"/>
      <c r="U49" s="1165"/>
      <c r="V49" s="1166" t="s">
        <v>10</v>
      </c>
      <c r="W49" s="1167"/>
      <c r="X49" s="1167"/>
      <c r="Y49" s="1167"/>
      <c r="Z49" s="1167"/>
      <c r="AA49" s="1033"/>
      <c r="AB49" s="1033"/>
      <c r="AC49" s="1173" t="str">
        <f>IFERROR(VLOOKUP(BE48,【参考】数式用2!E6:F23,2,FALSE),"")</f>
        <v>新加算Ⅲ</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4.3999999999999997E-2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1.0999999999999999E-2</v>
      </c>
      <c r="R50" s="1177"/>
      <c r="S50" s="1177"/>
      <c r="T50" s="1177"/>
      <c r="U50" s="1183"/>
      <c r="V50" s="1145">
        <f>SUM(G50,L50,Q50)</f>
        <v>5.4999999999999993E-2</v>
      </c>
      <c r="W50" s="1146"/>
      <c r="X50" s="1146"/>
      <c r="Y50" s="1146"/>
      <c r="Z50" s="1146"/>
      <c r="AA50" s="1033"/>
      <c r="AB50" s="1033"/>
      <c r="AC50" s="1184">
        <f>IFERROR(VLOOKUP(Y5,【参考】数式用!$A$5:$AB$37,MATCH(AC49,【参考】数式用!$B$4:$AB$4,0)+1,FALSE),"")</f>
        <v>6.699999999999999E-2</v>
      </c>
      <c r="AD50" s="1185"/>
      <c r="AE50" s="1185"/>
      <c r="AF50" s="1185"/>
      <c r="AG50" s="1185"/>
      <c r="AH50" s="1186"/>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f>IFERROR(ROUNDDOWN(ROUND(AM5*G50,0),0)*H53,"")</f>
        <v>268400</v>
      </c>
      <c r="H51" s="1092"/>
      <c r="I51" s="1092"/>
      <c r="J51" s="1092"/>
      <c r="K51" s="55" t="s">
        <v>2117</v>
      </c>
      <c r="L51" s="1089">
        <f>IFERROR(ROUNDDOWN(ROUND(AM5*L50,0),0)*H53,"")</f>
        <v>0</v>
      </c>
      <c r="M51" s="1090"/>
      <c r="N51" s="1090"/>
      <c r="O51" s="1090"/>
      <c r="P51" s="55" t="s">
        <v>2117</v>
      </c>
      <c r="Q51" s="1091">
        <f>IFERROR(ROUNDDOWN(ROUND(AM5*Q50,0),0)*H53,"")</f>
        <v>67100</v>
      </c>
      <c r="R51" s="1092"/>
      <c r="S51" s="1092"/>
      <c r="T51" s="1092"/>
      <c r="U51" s="56" t="s">
        <v>2117</v>
      </c>
      <c r="V51" s="1192">
        <f>IFERROR(SUM(G51,L51,Q51),"")</f>
        <v>335500</v>
      </c>
      <c r="W51" s="1193"/>
      <c r="X51" s="1193"/>
      <c r="Y51" s="1193"/>
      <c r="Z51" s="57" t="s">
        <v>2117</v>
      </c>
      <c r="AB51" s="58"/>
      <c r="AC51" s="1091">
        <f>IFERROR(ROUNDDOWN(ROUND(AM5*AC50,0),0)*AD53,"")</f>
        <v>2043500</v>
      </c>
      <c r="AD51" s="1092"/>
      <c r="AE51" s="1092"/>
      <c r="AF51" s="1092"/>
      <c r="AG51" s="1092"/>
      <c r="AH51" s="56" t="s">
        <v>2117</v>
      </c>
      <c r="AS51" s="1043">
        <f>IFERROR(ROUNDDOWN(ROUND(AM5*(G50-B10),0),0)*H53,"")</f>
        <v>158600</v>
      </c>
      <c r="AT51" s="1043"/>
      <c r="AU51" s="1043"/>
      <c r="AV51" s="1043"/>
      <c r="AW51" s="1043">
        <f>IFERROR(ROUNDDOWN(ROUND(AM5*(L50-G10),0),0)*H53,"")</f>
        <v>0</v>
      </c>
      <c r="AX51" s="1043"/>
      <c r="AY51" s="1043"/>
      <c r="AZ51" s="1043"/>
      <c r="BA51" s="1043">
        <f>IFERROR(ROUNDDOWN(ROUND(AM5*(Q50-L10),0),0)*H53,"")</f>
        <v>0</v>
      </c>
      <c r="BB51" s="1043"/>
      <c r="BC51" s="1043"/>
      <c r="BD51" s="1043"/>
      <c r="BE51" s="1043">
        <f>IFERROR(ROUNDDOWN(ROUND(AM5*(AC50-Q10),0),0)*AD53,"")</f>
        <v>1159000</v>
      </c>
      <c r="BF51" s="1043"/>
      <c r="BG51" s="1043"/>
      <c r="BH51" s="1043"/>
      <c r="BI51" s="1043">
        <f>SUM(AS51:BH51)</f>
        <v>1317600</v>
      </c>
      <c r="BJ51" s="1043"/>
      <c r="BK51" s="1043"/>
      <c r="BL51" s="1043"/>
      <c r="BM51" s="141"/>
      <c r="BN51" s="1043">
        <f>IFERROR(ROUNDDOWN(ROUNDDOWN(ROUND(AM5*(VLOOKUP(Y5,【参考】数式用!$A$5:$AB$37,14,FALSE)),0),0)*AD53*0.5,0),"")</f>
        <v>838750</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(134,200円/月)</v>
      </c>
      <c r="H52" s="1088"/>
      <c r="I52" s="1088"/>
      <c r="J52" s="1088"/>
      <c r="K52" s="1088"/>
      <c r="L52" s="1190" t="str">
        <f>IFERROR("("&amp;TEXT(L51/H53,"#,##0円")&amp;"/月)","")</f>
        <v>(0円/月)</v>
      </c>
      <c r="M52" s="1191"/>
      <c r="N52" s="1191"/>
      <c r="O52" s="1191"/>
      <c r="P52" s="1087"/>
      <c r="Q52" s="1088" t="str">
        <f>IFERROR("("&amp;TEXT(Q51/H53,"#,##0円")&amp;"/月)","")</f>
        <v>(33,550円/月)</v>
      </c>
      <c r="R52" s="1088"/>
      <c r="S52" s="1088"/>
      <c r="T52" s="1088"/>
      <c r="U52" s="1088"/>
      <c r="V52" s="1088" t="str">
        <f>IFERROR("("&amp;TEXT(V51/H53,"#,##0円")&amp;"/月)","")</f>
        <v>(167,750円/月)</v>
      </c>
      <c r="W52" s="1088"/>
      <c r="X52" s="1088"/>
      <c r="Y52" s="1088"/>
      <c r="Z52" s="1088"/>
      <c r="AB52" s="58"/>
      <c r="AC52" s="1190" t="str">
        <f>IFERROR("("&amp;TEXT(AC51/AD53,"#,##0円")&amp;"/月)","")</f>
        <v>(204,350円/月)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2376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2377</v>
      </c>
      <c r="V57" s="1039"/>
      <c r="W57" s="1039"/>
      <c r="X57" s="1039"/>
      <c r="Y57" s="1039"/>
      <c r="Z57" s="436">
        <f>IF(AND(B9&lt;&gt;"処遇加算なし",F15=4),IF(V21="✓",1,IF(V22="✓",2,"")),"")</f>
        <v>1</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2378</v>
      </c>
      <c r="V58" s="1046"/>
      <c r="W58" s="1046"/>
      <c r="X58" s="1046"/>
      <c r="Y58" s="1046"/>
      <c r="Z58" s="43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2379</v>
      </c>
      <c r="V59" s="1046"/>
      <c r="W59" s="1046"/>
      <c r="X59" s="1046"/>
      <c r="Y59" s="1046"/>
      <c r="Z59" s="43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2380</v>
      </c>
      <c r="V60" s="1046"/>
      <c r="W60" s="1046"/>
      <c r="X60" s="1046"/>
      <c r="Y60" s="1046"/>
      <c r="Z60" s="436">
        <f>IF(AND(B9&lt;&gt;"処遇加算なし",F15=4),IF(V32="✓",1,IF(V33="✓",2,"")),"")</f>
        <v>2</v>
      </c>
      <c r="AA60" s="145"/>
      <c r="AB60" s="149"/>
      <c r="AC60" s="1046" t="s">
        <v>2380</v>
      </c>
      <c r="AD60" s="1046"/>
      <c r="AE60" s="1046"/>
      <c r="AF60" s="1046"/>
      <c r="AG60" s="1046"/>
      <c r="AH60" s="425">
        <f>IF(AND(F15&lt;&gt;4,F15&lt;&gt;5),0,IF(AW8="○",1,3))</f>
        <v>1</v>
      </c>
      <c r="AI60" s="153"/>
      <c r="AJ60" s="149"/>
      <c r="AK60" s="1046" t="s">
        <v>2380</v>
      </c>
      <c r="AL60" s="1046"/>
      <c r="AM60" s="1046"/>
      <c r="AN60" s="1046"/>
      <c r="AO60" s="1046"/>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2381</v>
      </c>
      <c r="V61" s="1046"/>
      <c r="W61" s="1046"/>
      <c r="X61" s="1046"/>
      <c r="Y61" s="1046"/>
      <c r="Z61" s="43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2382</v>
      </c>
      <c r="V62" s="1046"/>
      <c r="W62" s="1046"/>
      <c r="X62" s="1046"/>
      <c r="Y62" s="1046"/>
      <c r="Z62" s="43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2383</v>
      </c>
      <c r="V63" s="1039"/>
      <c r="W63" s="1039"/>
      <c r="X63" s="1039"/>
      <c r="Y63" s="1039"/>
      <c r="Z63" s="43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SUM(事業所個票２!BU51)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00000000-0002-0000-0200-000000000000}">
      <formula1>0</formula1>
    </dataValidation>
    <dataValidation type="list" allowBlank="1" showInputMessage="1" showErrorMessage="1" sqref="AL41:AP41" xr:uid="{00000000-0002-0000-0200-000001000000}">
      <formula1>INDIRECT(BF1)</formula1>
    </dataValidation>
    <dataValidation type="list" allowBlank="1" showInputMessage="1" showErrorMessage="1" sqref="AD41:AH41" xr:uid="{00000000-0002-0000-02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200-000003000000}">
      <formula1>10</formula1>
    </dataValidation>
    <dataValidation type="list" allowBlank="1" showInputMessage="1" showErrorMessage="1" sqref="K15:K16 D15:D16" xr:uid="{00000000-0002-0000-0200-000004000000}">
      <formula1>"6,7"</formula1>
    </dataValidation>
    <dataValidation type="list" allowBlank="1" showInputMessage="1" showErrorMessage="1" sqref="M15:M16" xr:uid="{00000000-0002-0000-0200-000005000000}">
      <formula1>"1,2,3,6,7,8,9,10,11,12"</formula1>
    </dataValidation>
    <dataValidation type="list" allowBlank="1" showInputMessage="1" showErrorMessage="1" sqref="M5:O5" xr:uid="{00000000-0002-0000-0200-000006000000}">
      <formula1>INDIRECT(J5)</formula1>
    </dataValidation>
    <dataValidation type="list" allowBlank="1" showInputMessage="1" showErrorMessage="1" sqref="Y5:AD5" xr:uid="{00000000-0002-0000-02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15240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15240</xdr:rowOff>
                  </from>
                  <to>
                    <xdr:col>29</xdr:col>
                    <xdr:colOff>91440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129540</xdr:rowOff>
                  </from>
                  <to>
                    <xdr:col>30</xdr:col>
                    <xdr:colOff>60960</xdr:colOff>
                    <xdr:row>34</xdr:row>
                    <xdr:rowOff>53340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91440</xdr:colOff>
                    <xdr:row>42</xdr:row>
                    <xdr:rowOff>91440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53340</xdr:colOff>
                    <xdr:row>34</xdr:row>
                    <xdr:rowOff>15240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129540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167640</xdr:colOff>
                    <xdr:row>41</xdr:row>
                    <xdr:rowOff>205740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129540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167640</xdr:rowOff>
                  </from>
                  <to>
                    <xdr:col>30</xdr:col>
                    <xdr:colOff>53340</xdr:colOff>
                    <xdr:row>23</xdr:row>
                    <xdr:rowOff>91440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91440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53340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8000000}">
          <x14:formula1>
            <xm:f>【参考】数式用!$B$4:$E$4</xm:f>
          </x14:formula1>
          <xm:sqref>B9:F9</xm:sqref>
        </x14:dataValidation>
        <x14:dataValidation type="list" allowBlank="1" showInputMessage="1" showErrorMessage="1" xr:uid="{00000000-0002-0000-0200-000009000000}">
          <x14:formula1>
            <xm:f>【参考】数式用!$F$4:$H$4</xm:f>
          </x14:formula1>
          <xm:sqref>G9</xm:sqref>
        </x14:dataValidation>
        <x14:dataValidation type="list" allowBlank="1" showInputMessage="1" showErrorMessage="1" xr:uid="{00000000-0002-0000-0200-00000A000000}">
          <x14:formula1>
            <xm:f>【参考】数式用!$I$4:$J$4</xm:f>
          </x14:formula1>
          <xm:sqref>L9</xm:sqref>
        </x14:dataValidation>
        <x14:dataValidation type="list" allowBlank="1" showInputMessage="1" showErrorMessage="1" xr:uid="{00000000-0002-0000-0200-00000B00000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2326</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東京都</v>
      </c>
      <c r="AJ1" s="1204"/>
      <c r="AK1" s="1204"/>
      <c r="AL1" s="1204"/>
      <c r="AM1" s="1204"/>
      <c r="AN1" s="1204"/>
      <c r="AO1" s="1204"/>
      <c r="AP1" s="1204"/>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8">
        <f>IF(AI1&lt;&gt;"",1,"")</f>
        <v>1</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3">
        <v>1334567892</v>
      </c>
      <c r="C5" s="1103"/>
      <c r="D5" s="1103"/>
      <c r="E5" s="1103"/>
      <c r="F5" s="1103"/>
      <c r="G5" s="1104" t="s">
        <v>2355</v>
      </c>
      <c r="H5" s="1104"/>
      <c r="I5" s="1104"/>
      <c r="J5" s="1105" t="s">
        <v>4</v>
      </c>
      <c r="K5" s="1105"/>
      <c r="L5" s="1105"/>
      <c r="M5" s="1106" t="s">
        <v>1182</v>
      </c>
      <c r="N5" s="1106"/>
      <c r="O5" s="1106"/>
      <c r="P5" s="1009" t="s">
        <v>2356</v>
      </c>
      <c r="Q5" s="1010"/>
      <c r="R5" s="1010"/>
      <c r="S5" s="1010"/>
      <c r="T5" s="1010"/>
      <c r="U5" s="1010"/>
      <c r="V5" s="1010"/>
      <c r="W5" s="1010"/>
      <c r="X5" s="1011"/>
      <c r="Y5" s="1086" t="s">
        <v>2257</v>
      </c>
      <c r="Z5" s="1086"/>
      <c r="AA5" s="1086"/>
      <c r="AB5" s="1086"/>
      <c r="AC5" s="1086"/>
      <c r="AD5" s="1086"/>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t="s">
        <v>232</v>
      </c>
      <c r="C9" s="1125"/>
      <c r="D9" s="1125"/>
      <c r="E9" s="1125"/>
      <c r="F9" s="1126"/>
      <c r="G9" s="1127" t="s">
        <v>11</v>
      </c>
      <c r="H9" s="1128"/>
      <c r="I9" s="1128"/>
      <c r="J9" s="1128"/>
      <c r="K9" s="1129"/>
      <c r="L9" s="1130" t="s">
        <v>9</v>
      </c>
      <c r="M9" s="1131"/>
      <c r="N9" s="1131"/>
      <c r="O9" s="1131"/>
      <c r="P9" s="1132"/>
      <c r="Q9" s="1107" t="s">
        <v>2052</v>
      </c>
      <c r="R9" s="1108"/>
      <c r="S9" s="1108"/>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f>IFERROR(VLOOKUP(Y5,【参考】数式用!$A$5:$J$37,MATCH(B9,【参考】数式用!$B$4:$J$4,0)+1,0),"")</f>
        <v>2.3E-2</v>
      </c>
      <c r="C10" s="1134"/>
      <c r="D10" s="1134"/>
      <c r="E10" s="1134"/>
      <c r="F10" s="1135"/>
      <c r="G10" s="1133">
        <f>IFERROR(VLOOKUP(Y5,【参考】数式用!$A$5:$J$37,MATCH(G9,【参考】数式用!$B$4:$J$4,0)+1,0),"")</f>
        <v>0</v>
      </c>
      <c r="H10" s="1134"/>
      <c r="I10" s="1134"/>
      <c r="J10" s="1134"/>
      <c r="K10" s="1135"/>
      <c r="L10" s="1139">
        <f>IFERROR(VLOOKUP(Y5,【参考】数式用!$A$5:$J$37,MATCH(L9,【参考】数式用!$B$4:$J$4,0)+1,0),"")</f>
        <v>0</v>
      </c>
      <c r="M10" s="1140"/>
      <c r="N10" s="1140"/>
      <c r="O10" s="1140"/>
      <c r="P10" s="1141"/>
      <c r="Q10" s="1145">
        <f>SUM(B10,G10,L10)</f>
        <v>2.3E-2</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新加算Ⅴ(11)</v>
      </c>
      <c r="W11" s="1075"/>
      <c r="X11" s="1075"/>
      <c r="Y11" s="1075"/>
      <c r="Z11" s="1075"/>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2"/>
      <c r="D12" s="1102"/>
      <c r="E12" s="1102"/>
      <c r="F12" s="1102"/>
      <c r="G12" s="1102"/>
      <c r="H12" s="1102"/>
      <c r="I12" s="1102"/>
      <c r="J12" s="1102"/>
      <c r="K12" s="1102"/>
      <c r="L12" s="1102"/>
      <c r="M12" s="1102"/>
      <c r="N12" s="1102"/>
      <c r="O12" s="1102"/>
      <c r="P12" s="1102"/>
      <c r="Q12" s="1102"/>
      <c r="R12" s="1102"/>
      <c r="S12" s="1102"/>
      <c r="T12" s="1033"/>
      <c r="U12" s="1023"/>
      <c r="V12" s="1213">
        <f>IFERROR(VLOOKUP(Y5,【参考】数式用!$A$5:$AB$37,MATCH(V11,【参考】数式用!$B$4:$AB$4,0)+1,FALSE),"")</f>
        <v>0.05</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新加算Ⅴ(14)</v>
      </c>
      <c r="W14" s="1075"/>
      <c r="X14" s="1075"/>
      <c r="Y14" s="1075"/>
      <c r="Z14" s="1075"/>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f>IFERROR(VLOOKUP(Y5,【参考】数式用!$A$5:$AB$37,MATCH(V14,【参考】数式用!$B$4:$AB$4,0)+1,FALSE),"")</f>
        <v>3.2000000000000001E-2</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29" t="str">
        <f>IFERROR(IF(B9="処遇加算Ⅲ","✓",""),"")</f>
        <v>✓</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29"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29" t="str">
        <f>IFERROR(IF(B9="処遇加算Ⅲ","✓",""),"")</f>
        <v>✓</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29"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v>
      </c>
      <c r="W37" s="1053" t="s">
        <v>15</v>
      </c>
      <c r="X37" s="1054"/>
      <c r="Y37" s="1054"/>
      <c r="Z37" s="1055"/>
      <c r="AA37" s="1022"/>
      <c r="AB37" s="1023"/>
      <c r="AC37" s="1047" t="s">
        <v>2176</v>
      </c>
      <c r="AD37" s="1048"/>
      <c r="AE37" s="1048"/>
      <c r="AF37" s="1048"/>
      <c r="AG37" s="1049"/>
      <c r="AH37" s="1050"/>
      <c r="AI37" s="1022"/>
      <c r="AJ37" s="1023"/>
      <c r="AK37" s="1047" t="s">
        <v>2176</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福祉専門職員配置等加算を算定する。</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処遇加算Ⅱ</v>
      </c>
      <c r="AT48" s="1041"/>
      <c r="AU48" s="1041"/>
      <c r="AV48" s="1041"/>
      <c r="AW48" s="1041" t="str">
        <f>IFERROR(IF(AND(OR(AP61=1,AP61=2),AP62=1,AP63=1),"特定加算Ⅰ",IF(AND(OR(AP61=1,AP61=2),AP62=2,AP63=1),"特定加算Ⅱ",IF(OR(AP61=3,AP62=2,AP63=2),"特定加算なし",""))),"")</f>
        <v>特定加算なし</v>
      </c>
      <c r="AX48" s="1041"/>
      <c r="AY48" s="1041"/>
      <c r="AZ48" s="1041"/>
      <c r="BA48" s="1041" t="str">
        <f>IFERROR(IF(OR(L9="ベア加算",AP57=1),"ベア加算",IF(AP57=2,"ベア加算なし","")),"")</f>
        <v>ベア加算</v>
      </c>
      <c r="BB48" s="1041"/>
      <c r="BC48" s="1041"/>
      <c r="BD48" s="1041"/>
      <c r="BE48" s="1042" t="str">
        <f>AS48&amp;AW48&amp;BA48</f>
        <v>処遇加算Ⅱ特定加算なしベア加算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処遇加算Ⅱ</v>
      </c>
      <c r="H49" s="1164"/>
      <c r="I49" s="1164"/>
      <c r="J49" s="1164"/>
      <c r="K49" s="1189"/>
      <c r="L49" s="1194" t="str">
        <f>IFERROR(IF(G9="","",IF(AND(OR(AH61=1,AH61=2),AH62=1,AH63=1),"特定加算Ⅰ",IF(AND(OR(AH61=1,AH61=2),AH62=2,AH63=1),"特定加算Ⅱ",IF(OR(AH61=3,AH62=2,AH63=2),"特定加算なし","")))),"")</f>
        <v>特定加算なし</v>
      </c>
      <c r="M49" s="1195"/>
      <c r="N49" s="1195"/>
      <c r="O49" s="1195"/>
      <c r="P49" s="1196"/>
      <c r="Q49" s="1163" t="str">
        <f>IFERROR(IF(OR(L9="ベア加算",AND(L9="ベア加算なし",AH57=1)),"ベア加算",IF(AH57=2,"ベア加算なし","")),"")</f>
        <v>ベア加算</v>
      </c>
      <c r="R49" s="1164"/>
      <c r="S49" s="1164"/>
      <c r="T49" s="1164"/>
      <c r="U49" s="1165"/>
      <c r="V49" s="1166" t="s">
        <v>10</v>
      </c>
      <c r="W49" s="1167"/>
      <c r="X49" s="1167"/>
      <c r="Y49" s="1167"/>
      <c r="Z49" s="1167"/>
      <c r="AA49" s="1033"/>
      <c r="AB49" s="1033"/>
      <c r="AC49" s="1173" t="str">
        <f>IFERROR(VLOOKUP(BE48,【参考】数式用2!E6:F23,2,FALSE),"")</f>
        <v>新加算Ⅳ</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f>IFERROR(VLOOKUP(Y5,【参考】数式用!$A$5:$J$37,MATCH(G49,【参考】数式用!$B$4:$J$4,0)+1,0),"")</f>
        <v>4.1000000000000002E-2</v>
      </c>
      <c r="H50" s="1177"/>
      <c r="I50" s="1177"/>
      <c r="J50" s="1177"/>
      <c r="K50" s="1178"/>
      <c r="L50" s="1179">
        <f>IFERROR(VLOOKUP(Y5,【参考】数式用!$A$5:$J$37,MATCH(L49,【参考】数式用!$B$4:$J$4,0)+1,0),"")</f>
        <v>0</v>
      </c>
      <c r="M50" s="1180"/>
      <c r="N50" s="1180"/>
      <c r="O50" s="1180"/>
      <c r="P50" s="1181"/>
      <c r="Q50" s="1182">
        <f>IFERROR(VLOOKUP(Y5,【参考】数式用!$A$5:$J$37,MATCH(Q49,【参考】数式用!$B$4:$J$4,0)+1,0),"")</f>
        <v>1.2999999999999999E-2</v>
      </c>
      <c r="R50" s="1177"/>
      <c r="S50" s="1177"/>
      <c r="T50" s="1177"/>
      <c r="U50" s="1183"/>
      <c r="V50" s="1145">
        <f>SUM(G50,L50,Q50)</f>
        <v>5.3999999999999999E-2</v>
      </c>
      <c r="W50" s="1146"/>
      <c r="X50" s="1146"/>
      <c r="Y50" s="1146"/>
      <c r="Z50" s="1146"/>
      <c r="AA50" s="1033"/>
      <c r="AB50" s="1033"/>
      <c r="AC50" s="1184">
        <f>IFERROR(VLOOKUP(Y5,【参考】数式用!$A$5:$AB$37,MATCH(AC49,【参考】数式用!$B$4:$AB$4,0)+1,FALSE),"")</f>
        <v>6.3E-2</v>
      </c>
      <c r="AD50" s="1185"/>
      <c r="AE50" s="1185"/>
      <c r="AF50" s="1185"/>
      <c r="AG50" s="1185"/>
      <c r="AH50" s="1186"/>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f>IFERROR(ROUNDDOWN(ROUND(AM5*G50,0),0)*H53,"")</f>
        <v>282900</v>
      </c>
      <c r="H51" s="1092"/>
      <c r="I51" s="1092"/>
      <c r="J51" s="1092"/>
      <c r="K51" s="55" t="s">
        <v>2117</v>
      </c>
      <c r="L51" s="1089">
        <f>IFERROR(ROUNDDOWN(ROUND(AM5*L50,0),0)*H53,"")</f>
        <v>0</v>
      </c>
      <c r="M51" s="1090"/>
      <c r="N51" s="1090"/>
      <c r="O51" s="1090"/>
      <c r="P51" s="55" t="s">
        <v>2117</v>
      </c>
      <c r="Q51" s="1091">
        <f>IFERROR(ROUNDDOWN(ROUND(AM5*Q50,0),0)*H53,"")</f>
        <v>89700</v>
      </c>
      <c r="R51" s="1092"/>
      <c r="S51" s="1092"/>
      <c r="T51" s="1092"/>
      <c r="U51" s="56" t="s">
        <v>2117</v>
      </c>
      <c r="V51" s="1192">
        <f>IFERROR(SUM(G51,L51,Q51),"")</f>
        <v>372600</v>
      </c>
      <c r="W51" s="1193"/>
      <c r="X51" s="1193"/>
      <c r="Y51" s="1193"/>
      <c r="Z51" s="57" t="s">
        <v>2117</v>
      </c>
      <c r="AB51" s="58"/>
      <c r="AC51" s="1091">
        <f>IFERROR(ROUNDDOWN(ROUND(AM5*AC50,0),0)*AD53,"")</f>
        <v>2173500</v>
      </c>
      <c r="AD51" s="1092"/>
      <c r="AE51" s="1092"/>
      <c r="AF51" s="1092"/>
      <c r="AG51" s="1092"/>
      <c r="AH51" s="56" t="s">
        <v>2117</v>
      </c>
      <c r="AS51" s="1043">
        <f>IFERROR(ROUNDDOWN(ROUND(AM5*(G50-B10),0),0)*H53,"")</f>
        <v>124200</v>
      </c>
      <c r="AT51" s="1043"/>
      <c r="AU51" s="1043"/>
      <c r="AV51" s="1043"/>
      <c r="AW51" s="1043">
        <f>IFERROR(ROUNDDOWN(ROUND(AM5*(L50-G10),0),0)*H53,"")</f>
        <v>0</v>
      </c>
      <c r="AX51" s="1043"/>
      <c r="AY51" s="1043"/>
      <c r="AZ51" s="1043"/>
      <c r="BA51" s="1043">
        <f>IFERROR(ROUNDDOWN(ROUND(AM5*(Q50-L10),0),0)*H53,"")</f>
        <v>89700</v>
      </c>
      <c r="BB51" s="1043"/>
      <c r="BC51" s="1043"/>
      <c r="BD51" s="1043"/>
      <c r="BE51" s="1043">
        <f>IFERROR(ROUNDDOWN(ROUND(AM5*(AC50-Q10),0),0)*AD53,"")</f>
        <v>1380000</v>
      </c>
      <c r="BF51" s="1043"/>
      <c r="BG51" s="1043"/>
      <c r="BH51" s="1043"/>
      <c r="BI51" s="1043">
        <f>SUM(AS51:BH51)</f>
        <v>1593900</v>
      </c>
      <c r="BJ51" s="1043"/>
      <c r="BK51" s="1043"/>
      <c r="BL51" s="1043"/>
      <c r="BM51" s="141"/>
      <c r="BN51" s="1043">
        <f>IFERROR(ROUNDDOWN(ROUNDDOWN(ROUND(AM5*(VLOOKUP(Y5,【参考】数式用!$A$5:$AB$37,14,FALSE)),0),0)*AD53*0.5,0),"")</f>
        <v>1086750</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(141,450円/月)</v>
      </c>
      <c r="H52" s="1088"/>
      <c r="I52" s="1088"/>
      <c r="J52" s="1088"/>
      <c r="K52" s="1088"/>
      <c r="L52" s="1190" t="str">
        <f>IFERROR("("&amp;TEXT(L51/H53,"#,##0円")&amp;"/月)","")</f>
        <v>(0円/月)</v>
      </c>
      <c r="M52" s="1191"/>
      <c r="N52" s="1191"/>
      <c r="O52" s="1191"/>
      <c r="P52" s="1087"/>
      <c r="Q52" s="1088" t="str">
        <f>IFERROR("("&amp;TEXT(Q51/H53,"#,##0円")&amp;"/月)","")</f>
        <v>(44,850円/月)</v>
      </c>
      <c r="R52" s="1088"/>
      <c r="S52" s="1088"/>
      <c r="T52" s="1088"/>
      <c r="U52" s="1088"/>
      <c r="V52" s="1088" t="str">
        <f>IFERROR("("&amp;TEXT(V51/H53,"#,##0円")&amp;"/月)","")</f>
        <v>(186,300円/月)</v>
      </c>
      <c r="W52" s="1088"/>
      <c r="X52" s="1088"/>
      <c r="Y52" s="1088"/>
      <c r="Z52" s="1088"/>
      <c r="AB52" s="58"/>
      <c r="AC52" s="1190" t="str">
        <f>IFERROR("("&amp;TEXT(AC51/AD53,"#,##0円")&amp;"/月)","")</f>
        <v>(217,350円/月)</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2376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2377</v>
      </c>
      <c r="V57" s="1039"/>
      <c r="W57" s="1039"/>
      <c r="X57" s="1039"/>
      <c r="Y57" s="1039"/>
      <c r="Z57" s="426">
        <f>IF(AND(B9&lt;&gt;"処遇加算なし",F15=4),IF(V21="✓",1,IF(V22="✓",2,"")),"")</f>
        <v>2</v>
      </c>
      <c r="AA57" s="145"/>
      <c r="AB57" s="149"/>
      <c r="AC57" s="1039" t="s">
        <v>2377</v>
      </c>
      <c r="AD57" s="1039"/>
      <c r="AE57" s="1039"/>
      <c r="AF57" s="1039"/>
      <c r="AG57" s="1039"/>
      <c r="AH57" s="425">
        <f>IF(AND(F15&lt;&gt;4,F15&lt;&gt;5),0,IF(AT8="○",1,0))</f>
        <v>1</v>
      </c>
      <c r="AI57" s="153"/>
      <c r="AJ57" s="149"/>
      <c r="AK57" s="1039" t="s">
        <v>2377</v>
      </c>
      <c r="AL57" s="1039"/>
      <c r="AM57" s="1039"/>
      <c r="AN57" s="1039"/>
      <c r="AO57" s="1039"/>
      <c r="AP57" s="425">
        <f>IF(AT8="○",1,0)</f>
        <v>1</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2378</v>
      </c>
      <c r="V58" s="1046"/>
      <c r="W58" s="1046"/>
      <c r="X58" s="1046"/>
      <c r="Y58" s="1046"/>
      <c r="Z58" s="426">
        <f>IF(AND(B9&lt;&gt;"処遇加算なし",F15=4),IF(V24="✓",1,IF(V25="✓",2,IF(V26="✓",3,""))),"")</f>
        <v>2</v>
      </c>
      <c r="AA58" s="145"/>
      <c r="AB58" s="149"/>
      <c r="AC58" s="1046" t="s">
        <v>2378</v>
      </c>
      <c r="AD58" s="1046"/>
      <c r="AE58" s="1046"/>
      <c r="AF58" s="1046"/>
      <c r="AG58" s="1046"/>
      <c r="AH58" s="425">
        <f>IF(AND(F15&lt;&gt;4,F15&lt;&gt;5),0,IF(AU8="○",1,3))</f>
        <v>1</v>
      </c>
      <c r="AI58" s="153"/>
      <c r="AJ58" s="149"/>
      <c r="AK58" s="1046" t="s">
        <v>2378</v>
      </c>
      <c r="AL58" s="1046"/>
      <c r="AM58" s="1046"/>
      <c r="AN58" s="1046"/>
      <c r="AO58" s="1046"/>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2379</v>
      </c>
      <c r="V59" s="1046"/>
      <c r="W59" s="1046"/>
      <c r="X59" s="1046"/>
      <c r="Y59" s="1046"/>
      <c r="Z59" s="426">
        <f>IF(AND(B9&lt;&gt;"処遇加算なし",F15=4),IF(V28="✓",1,IF(V29="✓",2,IF(V30="✓",3,""))),"")</f>
        <v>2</v>
      </c>
      <c r="AA59" s="145"/>
      <c r="AB59" s="149"/>
      <c r="AC59" s="1046" t="s">
        <v>2379</v>
      </c>
      <c r="AD59" s="1046"/>
      <c r="AE59" s="1046"/>
      <c r="AF59" s="1046"/>
      <c r="AG59" s="1046"/>
      <c r="AH59" s="425">
        <f>IF(AND(F15&lt;&gt;4,F15&lt;&gt;5),0,IF(AV8="○",1,3))</f>
        <v>1</v>
      </c>
      <c r="AI59" s="153"/>
      <c r="AJ59" s="149"/>
      <c r="AK59" s="1046" t="s">
        <v>2379</v>
      </c>
      <c r="AL59" s="1046"/>
      <c r="AM59" s="1046"/>
      <c r="AN59" s="1046"/>
      <c r="AO59" s="1046"/>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2380</v>
      </c>
      <c r="V60" s="1046"/>
      <c r="W60" s="1046"/>
      <c r="X60" s="1046"/>
      <c r="Y60" s="1046"/>
      <c r="Z60" s="426">
        <f>IF(AND(B9&lt;&gt;"処遇加算なし",F15=4),IF(V32="✓",1,IF(V33="✓",2,"")),"")</f>
        <v>2</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2381</v>
      </c>
      <c r="V61" s="1046"/>
      <c r="W61" s="1046"/>
      <c r="X61" s="1046"/>
      <c r="Y61" s="1046"/>
      <c r="Z61" s="426">
        <f>IF(AND(B9&lt;&gt;"処遇加算なし",F15=4),IF(V36="✓",1,IF(V37="✓",2,"")),"")</f>
        <v>2</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2382</v>
      </c>
      <c r="V62" s="1046"/>
      <c r="W62" s="1046"/>
      <c r="X62" s="1046"/>
      <c r="Y62" s="1046"/>
      <c r="Z62" s="426">
        <f>IF(AND(B9&lt;&gt;"処遇加算なし",F15=4),IF(V40="✓",1,IF(V41="✓",2,"")),"")</f>
        <v>2</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2383</v>
      </c>
      <c r="V63" s="1039"/>
      <c r="W63" s="1039"/>
      <c r="X63" s="1039"/>
      <c r="Y63" s="1039"/>
      <c r="Z63" s="42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SUM(事業所個票３!BU51)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300-000000000000}">
      <formula1>サービス名</formula1>
    </dataValidation>
    <dataValidation type="list" allowBlank="1" showInputMessage="1" showErrorMessage="1" sqref="M5:O5" xr:uid="{00000000-0002-0000-0300-000001000000}">
      <formula1>INDIRECT(J5)</formula1>
    </dataValidation>
    <dataValidation type="list" allowBlank="1" showInputMessage="1" showErrorMessage="1" sqref="M15:M16" xr:uid="{00000000-0002-0000-0300-000002000000}">
      <formula1>"1,2,3,6,7,8,9,10,11,12"</formula1>
    </dataValidation>
    <dataValidation type="list" allowBlank="1" showInputMessage="1" showErrorMessage="1" sqref="K15:K16 D15:D16" xr:uid="{00000000-0002-0000-03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300-000004000000}">
      <formula1>10</formula1>
    </dataValidation>
    <dataValidation type="list" allowBlank="1" showInputMessage="1" showErrorMessage="1" sqref="AD41:AH41" xr:uid="{00000000-0002-0000-0300-000005000000}">
      <formula1>INDIRECT(BF1)</formula1>
    </dataValidation>
    <dataValidation type="list" allowBlank="1" showInputMessage="1" showErrorMessage="1" sqref="AL41:AP41" xr:uid="{00000000-0002-0000-0300-000006000000}">
      <formula1>INDIRECT(BF1)</formula1>
    </dataValidation>
    <dataValidation type="whole" operator="greaterThanOrEqual" allowBlank="1" showInputMessage="1" showErrorMessage="1" prompt="要件を満たす職員数を記入してください。" sqref="AG37:AH37 AO37:AP37" xr:uid="{00000000-0002-0000-03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137160</xdr:colOff>
                    <xdr:row>43</xdr:row>
                    <xdr:rowOff>213360</xdr:rowOff>
                  </from>
                  <to>
                    <xdr:col>29</xdr:col>
                    <xdr:colOff>106680</xdr:colOff>
                    <xdr:row>45</xdr:row>
                    <xdr:rowOff>15240</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106680</xdr:colOff>
                    <xdr:row>20</xdr:row>
                    <xdr:rowOff>15240</xdr:rowOff>
                  </from>
                  <to>
                    <xdr:col>29</xdr:col>
                    <xdr:colOff>91440</xdr:colOff>
                    <xdr:row>22</xdr:row>
                    <xdr:rowOff>99060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22860</xdr:colOff>
                    <xdr:row>30</xdr:row>
                    <xdr:rowOff>129540</xdr:rowOff>
                  </from>
                  <to>
                    <xdr:col>30</xdr:col>
                    <xdr:colOff>60960</xdr:colOff>
                    <xdr:row>34</xdr:row>
                    <xdr:rowOff>53340</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91440</xdr:colOff>
                    <xdr:row>42</xdr:row>
                    <xdr:rowOff>91440</xdr:rowOff>
                  </from>
                  <to>
                    <xdr:col>29</xdr:col>
                    <xdr:colOff>152400</xdr:colOff>
                    <xdr:row>46</xdr:row>
                    <xdr:rowOff>22860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22860</xdr:colOff>
                    <xdr:row>30</xdr:row>
                    <xdr:rowOff>114300</xdr:rowOff>
                  </from>
                  <to>
                    <xdr:col>39</xdr:col>
                    <xdr:colOff>53340</xdr:colOff>
                    <xdr:row>34</xdr:row>
                    <xdr:rowOff>15240</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182880</xdr:rowOff>
                  </from>
                  <to>
                    <xdr:col>38</xdr:col>
                    <xdr:colOff>129540</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30480</xdr:colOff>
                    <xdr:row>38</xdr:row>
                    <xdr:rowOff>106680</xdr:rowOff>
                  </from>
                  <to>
                    <xdr:col>38</xdr:col>
                    <xdr:colOff>167640</xdr:colOff>
                    <xdr:row>41</xdr:row>
                    <xdr:rowOff>205740</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60960</xdr:colOff>
                    <xdr:row>42</xdr:row>
                    <xdr:rowOff>144780</xdr:rowOff>
                  </from>
                  <to>
                    <xdr:col>38</xdr:col>
                    <xdr:colOff>60960</xdr:colOff>
                    <xdr:row>46</xdr:row>
                    <xdr:rowOff>129540</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167640</xdr:rowOff>
                  </from>
                  <to>
                    <xdr:col>30</xdr:col>
                    <xdr:colOff>53340</xdr:colOff>
                    <xdr:row>23</xdr:row>
                    <xdr:rowOff>91440</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60960</xdr:colOff>
                    <xdr:row>19</xdr:row>
                    <xdr:rowOff>175260</xdr:rowOff>
                  </from>
                  <to>
                    <xdr:col>38</xdr:col>
                    <xdr:colOff>68580</xdr:colOff>
                    <xdr:row>23</xdr:row>
                    <xdr:rowOff>91440</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68580</xdr:colOff>
                    <xdr:row>22</xdr:row>
                    <xdr:rowOff>99060</xdr:rowOff>
                  </from>
                  <to>
                    <xdr:col>38</xdr:col>
                    <xdr:colOff>60960</xdr:colOff>
                    <xdr:row>27</xdr:row>
                    <xdr:rowOff>53340</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8000000}">
          <x14:formula1>
            <xm:f>【参考】数式用3!$A$3:$A$49</xm:f>
          </x14:formula1>
          <xm:sqref>J5:L5</xm:sqref>
        </x14:dataValidation>
        <x14:dataValidation type="list" allowBlank="1" showInputMessage="1" showErrorMessage="1" xr:uid="{00000000-0002-0000-0300-000009000000}">
          <x14:formula1>
            <xm:f>【参考】数式用!$I$4:$J$4</xm:f>
          </x14:formula1>
          <xm:sqref>L9</xm:sqref>
        </x14:dataValidation>
        <x14:dataValidation type="list" allowBlank="1" showInputMessage="1" showErrorMessage="1" xr:uid="{00000000-0002-0000-0300-00000A000000}">
          <x14:formula1>
            <xm:f>【参考】数式用!$F$4:$H$4</xm:f>
          </x14:formula1>
          <xm:sqref>G9</xm:sqref>
        </x14:dataValidation>
        <x14:dataValidation type="list" allowBlank="1" showInputMessage="1" showErrorMessage="1" xr:uid="{00000000-0002-0000-0300-00000B00000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CJ73"/>
  <sheetViews>
    <sheetView showGridLines="0" view="pageBreakPreview" topLeftCell="A61" zoomScaleNormal="53" zoomScaleSheetLayoutView="100" workbookViewId="0">
      <selection activeCell="T67" sqref="T67"/>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2327</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1"/>
      <c r="AR2" s="431"/>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27"/>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0" t="s">
        <v>2111</v>
      </c>
      <c r="F15" s="54">
        <v>4</v>
      </c>
      <c r="G15" s="430" t="s">
        <v>2112</v>
      </c>
      <c r="H15" s="1059" t="s">
        <v>2113</v>
      </c>
      <c r="I15" s="1059"/>
      <c r="J15" s="1072"/>
      <c r="K15" s="54">
        <v>7</v>
      </c>
      <c r="L15" s="430" t="s">
        <v>2111</v>
      </c>
      <c r="M15" s="54">
        <v>3</v>
      </c>
      <c r="N15" s="430" t="s">
        <v>2112</v>
      </c>
      <c r="O15" s="430" t="s">
        <v>2114</v>
      </c>
      <c r="P15" s="104">
        <f>(K15*12+M15)-(D15*12+F15)+1</f>
        <v>12</v>
      </c>
      <c r="Q15" s="1059" t="s">
        <v>2115</v>
      </c>
      <c r="R15" s="1059"/>
      <c r="S15" s="105" t="s">
        <v>69</v>
      </c>
      <c r="U15" s="427"/>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429"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429" t="str">
        <f>IFERROR(IF(OR(B9="処遇加算Ⅰ",B9="処遇加算Ⅱ"),"✓",""),"")</f>
        <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29"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29"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429" t="str">
        <f>IFERROR(IF(OR(B9="処遇加算Ⅰ",B9="処遇加算Ⅱ"),"✓",""),"")</f>
        <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29"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29"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29"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29"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29"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29" t="str">
        <f>IFERROR(IF(G9="特定加算なし","✓",""),"")</f>
        <v/>
      </c>
      <c r="W37" s="1053" t="s">
        <v>15</v>
      </c>
      <c r="X37" s="1054"/>
      <c r="Y37" s="1054"/>
      <c r="Z37" s="1055"/>
      <c r="AA37" s="1022"/>
      <c r="AB37" s="1023"/>
      <c r="AC37" s="1047" t="s">
        <v>2176</v>
      </c>
      <c r="AD37" s="1048"/>
      <c r="AE37" s="1048"/>
      <c r="AF37" s="1048"/>
      <c r="AG37" s="1049"/>
      <c r="AH37" s="1050"/>
      <c r="AI37" s="1022"/>
      <c r="AJ37" s="1023"/>
      <c r="AK37" s="1047" t="s">
        <v>2176</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29"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29"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29"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29"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IFERROR(IF(AND(OR(AP61=1,AP61=2),AP62=1,AP63=1),"特定加算Ⅰ",IF(AND(OR(AP61=1,AP61=2),AP62=2,AP63=1),"特定加算Ⅱ",IF(OR(AP61=3,AP62=2,AP63=2),"特定加算なし",""))),"")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2047</v>
      </c>
      <c r="AT50" s="1039"/>
      <c r="AU50" s="1039"/>
      <c r="AV50" s="1039"/>
      <c r="AW50" s="1039" t="s">
        <v>2048</v>
      </c>
      <c r="AX50" s="1039"/>
      <c r="AY50" s="1039"/>
      <c r="AZ50" s="1039"/>
      <c r="BA50" s="1197" t="s">
        <v>13</v>
      </c>
      <c r="BB50" s="1198"/>
      <c r="BC50" s="1198"/>
      <c r="BD50" s="119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2376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SUM(事業所個票４!BU51)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00000000-0002-0000-0400-000000000000}">
      <formula1>0</formula1>
    </dataValidation>
    <dataValidation type="list" allowBlank="1" showInputMessage="1" showErrorMessage="1" sqref="AL41:AP41" xr:uid="{00000000-0002-0000-0400-000001000000}">
      <formula1>INDIRECT(BF1)</formula1>
    </dataValidation>
    <dataValidation type="list" allowBlank="1" showInputMessage="1" showErrorMessage="1" sqref="AD41:AH41" xr:uid="{00000000-0002-0000-04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400-000003000000}">
      <formula1>10</formula1>
    </dataValidation>
    <dataValidation type="list" allowBlank="1" showInputMessage="1" showErrorMessage="1" sqref="K15:K16 D15:D16" xr:uid="{00000000-0002-0000-0400-000004000000}">
      <formula1>"6,7"</formula1>
    </dataValidation>
    <dataValidation type="list" allowBlank="1" showInputMessage="1" showErrorMessage="1" sqref="M15:M16" xr:uid="{00000000-0002-0000-0400-000005000000}">
      <formula1>"1,2,3,6,7,8,9,10,11,12"</formula1>
    </dataValidation>
    <dataValidation type="list" allowBlank="1" showInputMessage="1" showErrorMessage="1" sqref="M5:O5" xr:uid="{00000000-0002-0000-0400-000006000000}">
      <formula1>INDIRECT(J5)</formula1>
    </dataValidation>
    <dataValidation type="list" allowBlank="1" showInputMessage="1" showErrorMessage="1" sqref="Y5:AD5" xr:uid="{00000000-0002-0000-04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15240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15240</xdr:rowOff>
                  </from>
                  <to>
                    <xdr:col>29</xdr:col>
                    <xdr:colOff>91440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129540</xdr:rowOff>
                  </from>
                  <to>
                    <xdr:col>30</xdr:col>
                    <xdr:colOff>60960</xdr:colOff>
                    <xdr:row>34</xdr:row>
                    <xdr:rowOff>53340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91440</xdr:colOff>
                    <xdr:row>42</xdr:row>
                    <xdr:rowOff>91440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53340</xdr:colOff>
                    <xdr:row>34</xdr:row>
                    <xdr:rowOff>15240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129540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167640</xdr:colOff>
                    <xdr:row>41</xdr:row>
                    <xdr:rowOff>205740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129540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167640</xdr:rowOff>
                  </from>
                  <to>
                    <xdr:col>30</xdr:col>
                    <xdr:colOff>53340</xdr:colOff>
                    <xdr:row>23</xdr:row>
                    <xdr:rowOff>91440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91440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53340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08000000}">
          <x14:formula1>
            <xm:f>【参考】数式用!$B$4:$E$4</xm:f>
          </x14:formula1>
          <xm:sqref>B9:F9</xm:sqref>
        </x14:dataValidation>
        <x14:dataValidation type="list" allowBlank="1" showInputMessage="1" showErrorMessage="1" xr:uid="{00000000-0002-0000-0400-000009000000}">
          <x14:formula1>
            <xm:f>【参考】数式用!$F$4:$H$4</xm:f>
          </x14:formula1>
          <xm:sqref>G9</xm:sqref>
        </x14:dataValidation>
        <x14:dataValidation type="list" allowBlank="1" showInputMessage="1" showErrorMessage="1" xr:uid="{00000000-0002-0000-0400-00000A000000}">
          <x14:formula1>
            <xm:f>【参考】数式用!$I$4:$J$4</xm:f>
          </x14:formula1>
          <xm:sqref>L9</xm:sqref>
        </x14:dataValidation>
        <x14:dataValidation type="list" allowBlank="1" showInputMessage="1" showErrorMessage="1" xr:uid="{00000000-0002-0000-0400-00000B000000}">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J73"/>
  <sheetViews>
    <sheetView showGridLines="0" view="pageBreakPreview" zoomScaleNormal="53" zoomScaleSheetLayoutView="100" workbookViewId="0">
      <selection activeCell="N1" sqref="N1:AE2"/>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2328</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438"/>
      <c r="AR2" s="438"/>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435"/>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439" t="s">
        <v>2111</v>
      </c>
      <c r="F15" s="54">
        <v>4</v>
      </c>
      <c r="G15" s="439" t="s">
        <v>2112</v>
      </c>
      <c r="H15" s="1059" t="s">
        <v>2113</v>
      </c>
      <c r="I15" s="1059"/>
      <c r="J15" s="1072"/>
      <c r="K15" s="54">
        <v>7</v>
      </c>
      <c r="L15" s="439" t="s">
        <v>2111</v>
      </c>
      <c r="M15" s="54">
        <v>3</v>
      </c>
      <c r="N15" s="439" t="s">
        <v>2112</v>
      </c>
      <c r="O15" s="439" t="s">
        <v>2114</v>
      </c>
      <c r="P15" s="104">
        <f>(K15*12+M15)-(D15*12+F15)+1</f>
        <v>12</v>
      </c>
      <c r="Q15" s="1059" t="s">
        <v>2115</v>
      </c>
      <c r="R15" s="1059"/>
      <c r="S15" s="105" t="s">
        <v>69</v>
      </c>
      <c r="U15" s="435"/>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440"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440" t="str">
        <f>IFERROR(IF(OR(B9="処遇加算Ⅰ",B9="処遇加算Ⅱ"),"✓",""),"")</f>
        <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440"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440"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440" t="str">
        <f>IFERROR(IF(OR(B9="処遇加算Ⅰ",B9="処遇加算Ⅱ"),"✓",""),"")</f>
        <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440"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440"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440"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440"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440"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440" t="str">
        <f>IFERROR(IF(G9="特定加算なし","✓",""),"")</f>
        <v/>
      </c>
      <c r="W37" s="1053" t="s">
        <v>15</v>
      </c>
      <c r="X37" s="1054"/>
      <c r="Y37" s="1054"/>
      <c r="Z37" s="1055"/>
      <c r="AA37" s="1022"/>
      <c r="AB37" s="1023"/>
      <c r="AC37" s="1047" t="s">
        <v>2176</v>
      </c>
      <c r="AD37" s="1048"/>
      <c r="AE37" s="1048"/>
      <c r="AF37" s="1048"/>
      <c r="AG37" s="1049"/>
      <c r="AH37" s="1050"/>
      <c r="AI37" s="1022"/>
      <c r="AJ37" s="1023"/>
      <c r="AK37" s="1047" t="s">
        <v>2176</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440"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440"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440"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440"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IFERROR(IF(AND(OR(AP61=1,AP61=2),AP62=1,AP63=1),"特定加算Ⅰ",IF(AND(OR(AP61=1,AP61=2),AP62=2,AP63=1),"特定加算Ⅱ",IF(OR(AP61=3,AP62=2,AP63=2),"特定加算なし",""))),"")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2376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SUM(事業所個票５!BU51)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500-000000000000}">
      <formula1>サービス名</formula1>
    </dataValidation>
    <dataValidation type="list" allowBlank="1" showInputMessage="1" showErrorMessage="1" sqref="M5:O5" xr:uid="{00000000-0002-0000-0500-000001000000}">
      <formula1>INDIRECT(J5)</formula1>
    </dataValidation>
    <dataValidation type="list" allowBlank="1" showInputMessage="1" showErrorMessage="1" sqref="M15:M16" xr:uid="{00000000-0002-0000-0500-000002000000}">
      <formula1>"1,2,3,6,7,8,9,10,11,12"</formula1>
    </dataValidation>
    <dataValidation type="list" allowBlank="1" showInputMessage="1" showErrorMessage="1" sqref="K15:K16 D15:D16" xr:uid="{00000000-0002-0000-05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500-000004000000}">
      <formula1>10</formula1>
    </dataValidation>
    <dataValidation type="list" allowBlank="1" showInputMessage="1" showErrorMessage="1" sqref="AD41:AH41" xr:uid="{00000000-0002-0000-0500-000005000000}">
      <formula1>INDIRECT(BF1)</formula1>
    </dataValidation>
    <dataValidation type="list" allowBlank="1" showInputMessage="1" showErrorMessage="1" sqref="AL41:AP41" xr:uid="{00000000-0002-0000-0500-000006000000}">
      <formula1>INDIRECT(BF1)</formula1>
    </dataValidation>
    <dataValidation type="whole" operator="greaterThanOrEqual" allowBlank="1" showInputMessage="1" showErrorMessage="1" prompt="要件を満たす職員数を記入してください。" sqref="AG37:AH37 AO37:AP37" xr:uid="{00000000-0002-0000-05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24</xdr:row>
                    <xdr:rowOff>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24</xdr:row>
                    <xdr:rowOff>266700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129540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129540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15240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53340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15240</xdr:colOff>
                    <xdr:row>26</xdr:row>
                    <xdr:rowOff>106680</xdr:rowOff>
                  </from>
                  <to>
                    <xdr:col>30</xdr:col>
                    <xdr:colOff>53340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15240</xdr:colOff>
                    <xdr:row>30</xdr:row>
                    <xdr:rowOff>129540</xdr:rowOff>
                  </from>
                  <to>
                    <xdr:col>30</xdr:col>
                    <xdr:colOff>53340</xdr:colOff>
                    <xdr:row>34</xdr:row>
                    <xdr:rowOff>53340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167640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91440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15240</xdr:colOff>
                    <xdr:row>30</xdr:row>
                    <xdr:rowOff>114300</xdr:rowOff>
                  </from>
                  <to>
                    <xdr:col>39</xdr:col>
                    <xdr:colOff>38100</xdr:colOff>
                    <xdr:row>34</xdr:row>
                    <xdr:rowOff>15240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205740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53340</xdr:colOff>
                    <xdr:row>43</xdr:row>
                    <xdr:rowOff>0</xdr:rowOff>
                  </from>
                  <to>
                    <xdr:col>38</xdr:col>
                    <xdr:colOff>53340</xdr:colOff>
                    <xdr:row>46</xdr:row>
                    <xdr:rowOff>129540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91440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53340</xdr:colOff>
                    <xdr:row>20</xdr:row>
                    <xdr:rowOff>0</xdr:rowOff>
                  </from>
                  <to>
                    <xdr:col>38</xdr:col>
                    <xdr:colOff>60960</xdr:colOff>
                    <xdr:row>23</xdr:row>
                    <xdr:rowOff>91440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53340</xdr:colOff>
                    <xdr:row>27</xdr:row>
                    <xdr:rowOff>53340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8000000}">
          <x14:formula1>
            <xm:f>【参考】数式用3!$A$3:$A$49</xm:f>
          </x14:formula1>
          <xm:sqref>J5:L5</xm:sqref>
        </x14:dataValidation>
        <x14:dataValidation type="list" allowBlank="1" showInputMessage="1" showErrorMessage="1" xr:uid="{00000000-0002-0000-0500-000009000000}">
          <x14:formula1>
            <xm:f>【参考】数式用!$I$4:$J$4</xm:f>
          </x14:formula1>
          <xm:sqref>L9</xm:sqref>
        </x14:dataValidation>
        <x14:dataValidation type="list" allowBlank="1" showInputMessage="1" showErrorMessage="1" xr:uid="{00000000-0002-0000-0500-00000A000000}">
          <x14:formula1>
            <xm:f>【参考】数式用!$F$4:$H$4</xm:f>
          </x14:formula1>
          <xm:sqref>G9</xm:sqref>
        </x14:dataValidation>
        <x14:dataValidation type="list" allowBlank="1" showInputMessage="1" showErrorMessage="1" xr:uid="{00000000-0002-0000-0500-00000B000000}">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CJ73"/>
  <sheetViews>
    <sheetView showGridLines="0" view="pageBreakPreview" zoomScaleNormal="53" zoomScaleSheetLayoutView="100" workbookViewId="0">
      <selection activeCell="N3" sqref="N3"/>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2329</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5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538"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5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538"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7" t="s">
        <v>2176</v>
      </c>
      <c r="AD37" s="1048"/>
      <c r="AE37" s="1048"/>
      <c r="AF37" s="1048"/>
      <c r="AG37" s="1049"/>
      <c r="AH37" s="1050"/>
      <c r="AI37" s="1022"/>
      <c r="AJ37" s="1023"/>
      <c r="AK37" s="1047" t="s">
        <v>2176</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IFERROR(IF(AND(OR(AP61=1,AP61=2),AP62=1,AP63=1),"特定加算Ⅰ",IF(AND(OR(AP61=1,AP61=2),AP62=2,AP63=1),"特定加算Ⅱ",IF(OR(AP61=3,AP62=2,AP63=2),"特定加算なし",""))),"")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2376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SUM(事業所個票６!BU51)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00000000-0002-0000-0600-000000000000}">
      <formula1>0</formula1>
    </dataValidation>
    <dataValidation type="list" allowBlank="1" showInputMessage="1" showErrorMessage="1" sqref="AL41:AP41" xr:uid="{00000000-0002-0000-0600-000001000000}">
      <formula1>INDIRECT(BF1)</formula1>
    </dataValidation>
    <dataValidation type="list" allowBlank="1" showInputMessage="1" showErrorMessage="1" sqref="AD41:AH41" xr:uid="{00000000-0002-0000-06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600-000003000000}">
      <formula1>10</formula1>
    </dataValidation>
    <dataValidation type="list" allowBlank="1" showInputMessage="1" showErrorMessage="1" sqref="K15:K16 D15:D16" xr:uid="{00000000-0002-0000-0600-000004000000}">
      <formula1>"6,7"</formula1>
    </dataValidation>
    <dataValidation type="list" allowBlank="1" showInputMessage="1" showErrorMessage="1" sqref="M15:M16" xr:uid="{00000000-0002-0000-0600-000005000000}">
      <formula1>"1,2,3,6,7,8,9,10,11,12"</formula1>
    </dataValidation>
    <dataValidation type="list" allowBlank="1" showInputMessage="1" showErrorMessage="1" sqref="M5:O5" xr:uid="{00000000-0002-0000-0600-000006000000}">
      <formula1>INDIRECT(J5)</formula1>
    </dataValidation>
    <dataValidation type="list" allowBlank="1" showInputMessage="1" showErrorMessage="1" sqref="Y5:AD5" xr:uid="{00000000-0002-0000-06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121920</xdr:colOff>
                    <xdr:row>23</xdr:row>
                    <xdr:rowOff>7620</xdr:rowOff>
                  </from>
                  <to>
                    <xdr:col>29</xdr:col>
                    <xdr:colOff>106680</xdr:colOff>
                    <xdr:row>24</xdr:row>
                    <xdr:rowOff>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121920</xdr:colOff>
                    <xdr:row>24</xdr:row>
                    <xdr:rowOff>266700</xdr:rowOff>
                  </from>
                  <to>
                    <xdr:col>29</xdr:col>
                    <xdr:colOff>106680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129540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129540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99060</xdr:colOff>
                    <xdr:row>20</xdr:row>
                    <xdr:rowOff>15240</xdr:rowOff>
                  </from>
                  <to>
                    <xdr:col>29</xdr:col>
                    <xdr:colOff>76200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30480</xdr:colOff>
                    <xdr:row>22</xdr:row>
                    <xdr:rowOff>137160</xdr:rowOff>
                  </from>
                  <to>
                    <xdr:col>30</xdr:col>
                    <xdr:colOff>53340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15240</xdr:colOff>
                    <xdr:row>26</xdr:row>
                    <xdr:rowOff>106680</xdr:rowOff>
                  </from>
                  <to>
                    <xdr:col>30</xdr:col>
                    <xdr:colOff>53340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15240</xdr:colOff>
                    <xdr:row>30</xdr:row>
                    <xdr:rowOff>129540</xdr:rowOff>
                  </from>
                  <to>
                    <xdr:col>30</xdr:col>
                    <xdr:colOff>53340</xdr:colOff>
                    <xdr:row>34</xdr:row>
                    <xdr:rowOff>53340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137160</xdr:colOff>
                    <xdr:row>34</xdr:row>
                    <xdr:rowOff>38100</xdr:rowOff>
                  </from>
                  <to>
                    <xdr:col>30</xdr:col>
                    <xdr:colOff>167640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91440</xdr:rowOff>
                  </from>
                  <to>
                    <xdr:col>29</xdr:col>
                    <xdr:colOff>144780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15240</xdr:colOff>
                    <xdr:row>30</xdr:row>
                    <xdr:rowOff>114300</xdr:rowOff>
                  </from>
                  <to>
                    <xdr:col>39</xdr:col>
                    <xdr:colOff>38100</xdr:colOff>
                    <xdr:row>34</xdr:row>
                    <xdr:rowOff>15240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22860</xdr:colOff>
                    <xdr:row>38</xdr:row>
                    <xdr:rowOff>106680</xdr:rowOff>
                  </from>
                  <to>
                    <xdr:col>38</xdr:col>
                    <xdr:colOff>152400</xdr:colOff>
                    <xdr:row>41</xdr:row>
                    <xdr:rowOff>205740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53340</xdr:colOff>
                    <xdr:row>43</xdr:row>
                    <xdr:rowOff>0</xdr:rowOff>
                  </from>
                  <to>
                    <xdr:col>38</xdr:col>
                    <xdr:colOff>53340</xdr:colOff>
                    <xdr:row>46</xdr:row>
                    <xdr:rowOff>129540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30480</xdr:colOff>
                    <xdr:row>20</xdr:row>
                    <xdr:rowOff>0</xdr:rowOff>
                  </from>
                  <to>
                    <xdr:col>30</xdr:col>
                    <xdr:colOff>38100</xdr:colOff>
                    <xdr:row>23</xdr:row>
                    <xdr:rowOff>91440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53340</xdr:colOff>
                    <xdr:row>20</xdr:row>
                    <xdr:rowOff>0</xdr:rowOff>
                  </from>
                  <to>
                    <xdr:col>38</xdr:col>
                    <xdr:colOff>60960</xdr:colOff>
                    <xdr:row>23</xdr:row>
                    <xdr:rowOff>91440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60960</xdr:colOff>
                    <xdr:row>22</xdr:row>
                    <xdr:rowOff>99060</xdr:rowOff>
                  </from>
                  <to>
                    <xdr:col>38</xdr:col>
                    <xdr:colOff>53340</xdr:colOff>
                    <xdr:row>27</xdr:row>
                    <xdr:rowOff>53340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8000000}">
          <x14:formula1>
            <xm:f>【参考】数式用!$B$4:$E$4</xm:f>
          </x14:formula1>
          <xm:sqref>B9:F9</xm:sqref>
        </x14:dataValidation>
        <x14:dataValidation type="list" allowBlank="1" showInputMessage="1" showErrorMessage="1" xr:uid="{00000000-0002-0000-0600-000009000000}">
          <x14:formula1>
            <xm:f>【参考】数式用!$F$4:$H$4</xm:f>
          </x14:formula1>
          <xm:sqref>G9</xm:sqref>
        </x14:dataValidation>
        <x14:dataValidation type="list" allowBlank="1" showInputMessage="1" showErrorMessage="1" xr:uid="{00000000-0002-0000-0600-00000A000000}">
          <x14:formula1>
            <xm:f>【参考】数式用!$I$4:$J$4</xm:f>
          </x14:formula1>
          <xm:sqref>L9</xm:sqref>
        </x14:dataValidation>
        <x14:dataValidation type="list" allowBlank="1" showInputMessage="1" showErrorMessage="1" xr:uid="{00000000-0002-0000-0600-00000B000000}">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CJ73"/>
  <sheetViews>
    <sheetView showGridLines="0" view="pageBreakPreview" zoomScaleNormal="53" zoomScaleSheetLayoutView="100" workbookViewId="0">
      <selection activeCell="N3" sqref="N3"/>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2330</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5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538"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5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538"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7" t="s">
        <v>2176</v>
      </c>
      <c r="AD37" s="1048"/>
      <c r="AE37" s="1048"/>
      <c r="AF37" s="1048"/>
      <c r="AG37" s="1049"/>
      <c r="AH37" s="1050"/>
      <c r="AI37" s="1022"/>
      <c r="AJ37" s="1023"/>
      <c r="AK37" s="1047" t="s">
        <v>2176</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IFERROR(IF(AND(OR(AP61=1,AP61=2),AP62=1,AP63=1),"特定加算Ⅰ",IF(AND(OR(AP61=1,AP61=2),AP62=2,AP63=1),"特定加算Ⅱ",IF(OR(AP61=3,AP62=2,AP63=2),"特定加算なし",""))),"")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2376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SUM(事業所個票７!BU51)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00000000-0002-0000-0700-000000000000}">
      <formula1>サービス名</formula1>
    </dataValidation>
    <dataValidation type="list" allowBlank="1" showInputMessage="1" showErrorMessage="1" sqref="M5:O5" xr:uid="{00000000-0002-0000-0700-000001000000}">
      <formula1>INDIRECT(J5)</formula1>
    </dataValidation>
    <dataValidation type="list" allowBlank="1" showInputMessage="1" showErrorMessage="1" sqref="M15:M16" xr:uid="{00000000-0002-0000-0700-000002000000}">
      <formula1>"1,2,3,6,7,8,9,10,11,12"</formula1>
    </dataValidation>
    <dataValidation type="list" allowBlank="1" showInputMessage="1" showErrorMessage="1" sqref="K15:K16 D15:D16" xr:uid="{00000000-0002-0000-0700-000003000000}">
      <formula1>"6,7"</formula1>
    </dataValidation>
    <dataValidation type="textLength" operator="equal" allowBlank="1" showInputMessage="1" showErrorMessage="1" error="10桁の介護保険事業所番号を入力してください。_x000a_（桁数が異なるとエラーになります）" sqref="B5:F5" xr:uid="{00000000-0002-0000-0700-000004000000}">
      <formula1>10</formula1>
    </dataValidation>
    <dataValidation type="list" allowBlank="1" showInputMessage="1" showErrorMessage="1" sqref="AD41:AH41" xr:uid="{00000000-0002-0000-0700-000005000000}">
      <formula1>INDIRECT(BF1)</formula1>
    </dataValidation>
    <dataValidation type="list" allowBlank="1" showInputMessage="1" showErrorMessage="1" sqref="AL41:AP41" xr:uid="{00000000-0002-0000-0700-000006000000}">
      <formula1>INDIRECT(BF1)</formula1>
    </dataValidation>
    <dataValidation type="whole" operator="greaterThanOrEqual" allowBlank="1" showInputMessage="1" showErrorMessage="1" prompt="要件を満たす職員数を記入してください。" sqref="AG37:AH37 AO37:AP37" xr:uid="{00000000-0002-0000-0700-000007000000}">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121920</xdr:colOff>
                    <xdr:row>23</xdr:row>
                    <xdr:rowOff>7620</xdr:rowOff>
                  </from>
                  <to>
                    <xdr:col>29</xdr:col>
                    <xdr:colOff>106680</xdr:colOff>
                    <xdr:row>24</xdr:row>
                    <xdr:rowOff>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121920</xdr:colOff>
                    <xdr:row>24</xdr:row>
                    <xdr:rowOff>266700</xdr:rowOff>
                  </from>
                  <to>
                    <xdr:col>29</xdr:col>
                    <xdr:colOff>106680</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129540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129540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99060</xdr:colOff>
                    <xdr:row>20</xdr:row>
                    <xdr:rowOff>15240</xdr:rowOff>
                  </from>
                  <to>
                    <xdr:col>29</xdr:col>
                    <xdr:colOff>76200</xdr:colOff>
                    <xdr:row>22</xdr:row>
                    <xdr:rowOff>99060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30480</xdr:colOff>
                    <xdr:row>22</xdr:row>
                    <xdr:rowOff>137160</xdr:rowOff>
                  </from>
                  <to>
                    <xdr:col>30</xdr:col>
                    <xdr:colOff>53340</xdr:colOff>
                    <xdr:row>27</xdr:row>
                    <xdr:rowOff>30480</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15240</xdr:colOff>
                    <xdr:row>26</xdr:row>
                    <xdr:rowOff>106680</xdr:rowOff>
                  </from>
                  <to>
                    <xdr:col>30</xdr:col>
                    <xdr:colOff>53340</xdr:colOff>
                    <xdr:row>30</xdr:row>
                    <xdr:rowOff>137160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15240</xdr:colOff>
                    <xdr:row>30</xdr:row>
                    <xdr:rowOff>129540</xdr:rowOff>
                  </from>
                  <to>
                    <xdr:col>30</xdr:col>
                    <xdr:colOff>53340</xdr:colOff>
                    <xdr:row>34</xdr:row>
                    <xdr:rowOff>53340</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137160</xdr:colOff>
                    <xdr:row>34</xdr:row>
                    <xdr:rowOff>38100</xdr:rowOff>
                  </from>
                  <to>
                    <xdr:col>30</xdr:col>
                    <xdr:colOff>167640</xdr:colOff>
                    <xdr:row>38</xdr:row>
                    <xdr:rowOff>99060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91440</xdr:rowOff>
                  </from>
                  <to>
                    <xdr:col>29</xdr:col>
                    <xdr:colOff>144780</xdr:colOff>
                    <xdr:row>46</xdr:row>
                    <xdr:rowOff>22860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15240</xdr:colOff>
                    <xdr:row>30</xdr:row>
                    <xdr:rowOff>114300</xdr:rowOff>
                  </from>
                  <to>
                    <xdr:col>39</xdr:col>
                    <xdr:colOff>38100</xdr:colOff>
                    <xdr:row>34</xdr:row>
                    <xdr:rowOff>15240</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22860</xdr:colOff>
                    <xdr:row>38</xdr:row>
                    <xdr:rowOff>106680</xdr:rowOff>
                  </from>
                  <to>
                    <xdr:col>38</xdr:col>
                    <xdr:colOff>152400</xdr:colOff>
                    <xdr:row>41</xdr:row>
                    <xdr:rowOff>205740</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53340</xdr:colOff>
                    <xdr:row>43</xdr:row>
                    <xdr:rowOff>0</xdr:rowOff>
                  </from>
                  <to>
                    <xdr:col>38</xdr:col>
                    <xdr:colOff>53340</xdr:colOff>
                    <xdr:row>46</xdr:row>
                    <xdr:rowOff>129540</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30480</xdr:colOff>
                    <xdr:row>20</xdr:row>
                    <xdr:rowOff>0</xdr:rowOff>
                  </from>
                  <to>
                    <xdr:col>30</xdr:col>
                    <xdr:colOff>38100</xdr:colOff>
                    <xdr:row>23</xdr:row>
                    <xdr:rowOff>91440</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53340</xdr:colOff>
                    <xdr:row>20</xdr:row>
                    <xdr:rowOff>0</xdr:rowOff>
                  </from>
                  <to>
                    <xdr:col>38</xdr:col>
                    <xdr:colOff>60960</xdr:colOff>
                    <xdr:row>23</xdr:row>
                    <xdr:rowOff>91440</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60960</xdr:colOff>
                    <xdr:row>22</xdr:row>
                    <xdr:rowOff>99060</xdr:rowOff>
                  </from>
                  <to>
                    <xdr:col>38</xdr:col>
                    <xdr:colOff>53340</xdr:colOff>
                    <xdr:row>27</xdr:row>
                    <xdr:rowOff>53340</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700-000008000000}">
          <x14:formula1>
            <xm:f>【参考】数式用3!$A$3:$A$49</xm:f>
          </x14:formula1>
          <xm:sqref>J5:L5</xm:sqref>
        </x14:dataValidation>
        <x14:dataValidation type="list" allowBlank="1" showInputMessage="1" showErrorMessage="1" xr:uid="{00000000-0002-0000-0700-000009000000}">
          <x14:formula1>
            <xm:f>【参考】数式用!$I$4:$J$4</xm:f>
          </x14:formula1>
          <xm:sqref>L9</xm:sqref>
        </x14:dataValidation>
        <x14:dataValidation type="list" allowBlank="1" showInputMessage="1" showErrorMessage="1" xr:uid="{00000000-0002-0000-0700-00000A000000}">
          <x14:formula1>
            <xm:f>【参考】数式用!$F$4:$H$4</xm:f>
          </x14:formula1>
          <xm:sqref>G9</xm:sqref>
        </x14:dataValidation>
        <x14:dataValidation type="list" allowBlank="1" showInputMessage="1" showErrorMessage="1" xr:uid="{00000000-0002-0000-0700-00000B000000}">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CJ73"/>
  <sheetViews>
    <sheetView showGridLines="0" view="pageBreakPreview" zoomScaleNormal="53" zoomScaleSheetLayoutView="100" workbookViewId="0">
      <selection activeCell="AA11" sqref="AA11:AP12"/>
    </sheetView>
  </sheetViews>
  <sheetFormatPr defaultColWidth="9" defaultRowHeight="13.2"/>
  <cols>
    <col min="1" max="1" width="1.59765625" style="71" customWidth="1"/>
    <col min="2" max="6" width="2.5" style="71" customWidth="1"/>
    <col min="7" max="9" width="2.09765625" style="71" customWidth="1"/>
    <col min="10" max="10" width="1.796875" style="71" customWidth="1"/>
    <col min="11" max="12" width="2.09765625" style="71" customWidth="1"/>
    <col min="13" max="13" width="2.296875" style="71" customWidth="1"/>
    <col min="14" max="15" width="2.09765625" style="71" customWidth="1"/>
    <col min="16" max="16" width="2.69921875" style="71" customWidth="1"/>
    <col min="17" max="19" width="2.09765625" style="71" customWidth="1"/>
    <col min="20" max="20" width="1.2968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7968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296875" style="71" customWidth="1"/>
    <col min="86" max="86" width="3.09765625" style="71" customWidth="1"/>
    <col min="87" max="92" width="2.296875" style="71" customWidth="1"/>
    <col min="93" max="102" width="1.59765625" style="71" customWidth="1"/>
    <col min="103" max="16384" width="9" style="71"/>
  </cols>
  <sheetData>
    <row r="1" spans="1:88" ht="18" customHeight="1">
      <c r="B1" s="72" t="s">
        <v>2120</v>
      </c>
      <c r="M1" s="73"/>
      <c r="N1" s="1073" t="s">
        <v>2331</v>
      </c>
      <c r="O1" s="1073"/>
      <c r="P1" s="1073"/>
      <c r="Q1" s="1073"/>
      <c r="R1" s="1073"/>
      <c r="S1" s="1073"/>
      <c r="T1" s="1073"/>
      <c r="U1" s="1073"/>
      <c r="V1" s="1073"/>
      <c r="W1" s="1073"/>
      <c r="X1" s="1073"/>
      <c r="Y1" s="1073"/>
      <c r="Z1" s="1073"/>
      <c r="AA1" s="1073"/>
      <c r="AB1" s="1073"/>
      <c r="AC1" s="1073"/>
      <c r="AD1" s="1073"/>
      <c r="AE1" s="1073"/>
      <c r="AF1" s="1203" t="s">
        <v>25</v>
      </c>
      <c r="AG1" s="1203"/>
      <c r="AH1" s="1203"/>
      <c r="AI1" s="1204" t="str">
        <f>IF(G5="","",G5)</f>
        <v/>
      </c>
      <c r="AJ1" s="1204"/>
      <c r="AK1" s="1204"/>
      <c r="AL1" s="1204"/>
      <c r="AM1" s="1204"/>
      <c r="AN1" s="1204"/>
      <c r="AO1" s="1204"/>
      <c r="AP1" s="1204"/>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3"/>
      <c r="O2" s="1073"/>
      <c r="P2" s="1073"/>
      <c r="Q2" s="1073"/>
      <c r="R2" s="1073"/>
      <c r="S2" s="1073"/>
      <c r="T2" s="1073"/>
      <c r="U2" s="1073"/>
      <c r="V2" s="1073"/>
      <c r="W2" s="1073"/>
      <c r="X2" s="1073"/>
      <c r="Y2" s="1073"/>
      <c r="Z2" s="1073"/>
      <c r="AA2" s="1073"/>
      <c r="AB2" s="1073"/>
      <c r="AC2" s="1073"/>
      <c r="AD2" s="1073"/>
      <c r="AE2" s="1073"/>
      <c r="AF2" s="73"/>
      <c r="AG2" s="73"/>
      <c r="AH2" s="73"/>
      <c r="AI2" s="73"/>
      <c r="AJ2" s="73"/>
      <c r="AK2" s="73"/>
      <c r="AL2" s="73"/>
      <c r="AM2" s="73"/>
      <c r="AN2" s="73"/>
      <c r="AO2" s="73"/>
      <c r="AP2" s="73"/>
      <c r="AQ2" s="536"/>
      <c r="AR2" s="536"/>
      <c r="CE2" s="992" t="s">
        <v>2193</v>
      </c>
      <c r="CF2" s="992"/>
      <c r="CG2" s="992"/>
      <c r="CH2" s="992"/>
      <c r="CI2" s="1208" t="str">
        <f>IF(AI1&lt;&gt;"",1,"")</f>
        <v/>
      </c>
      <c r="CJ2" s="1209"/>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0" t="str">
        <f>IF(AND(L9="ベア加算",Q49="ベア加算"),1,"")</f>
        <v/>
      </c>
      <c r="CJ3" s="1211"/>
    </row>
    <row r="4" spans="1:88" ht="28.5" customHeight="1">
      <c r="B4" s="1115" t="s">
        <v>2238</v>
      </c>
      <c r="C4" s="1115"/>
      <c r="D4" s="1115"/>
      <c r="E4" s="1115"/>
      <c r="F4" s="1115"/>
      <c r="G4" s="1116" t="s">
        <v>0</v>
      </c>
      <c r="H4" s="1116"/>
      <c r="I4" s="1116"/>
      <c r="J4" s="1117" t="s">
        <v>1</v>
      </c>
      <c r="K4" s="1118"/>
      <c r="L4" s="1118"/>
      <c r="M4" s="1118"/>
      <c r="N4" s="1118"/>
      <c r="O4" s="1119"/>
      <c r="P4" s="987" t="s">
        <v>2</v>
      </c>
      <c r="Q4" s="988"/>
      <c r="R4" s="988"/>
      <c r="S4" s="988"/>
      <c r="T4" s="988"/>
      <c r="U4" s="988"/>
      <c r="V4" s="988"/>
      <c r="W4" s="988"/>
      <c r="X4" s="989"/>
      <c r="Y4" s="1117" t="s">
        <v>3</v>
      </c>
      <c r="Z4" s="1118"/>
      <c r="AA4" s="1118"/>
      <c r="AB4" s="1118"/>
      <c r="AC4" s="1118"/>
      <c r="AD4" s="1119"/>
      <c r="AE4" s="1083" t="s">
        <v>2318</v>
      </c>
      <c r="AF4" s="1084"/>
      <c r="AG4" s="1084"/>
      <c r="AH4" s="1085"/>
      <c r="AI4" s="1083" t="s">
        <v>2319</v>
      </c>
      <c r="AJ4" s="1084"/>
      <c r="AK4" s="1084"/>
      <c r="AL4" s="1085"/>
      <c r="AM4" s="1083" t="s">
        <v>2320</v>
      </c>
      <c r="AN4" s="1084"/>
      <c r="AO4" s="1084"/>
      <c r="AP4" s="1085"/>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3"/>
      <c r="C5" s="1103"/>
      <c r="D5" s="1103"/>
      <c r="E5" s="1103"/>
      <c r="F5" s="1103"/>
      <c r="G5" s="1104"/>
      <c r="H5" s="1104"/>
      <c r="I5" s="1104"/>
      <c r="J5" s="1105"/>
      <c r="K5" s="1105"/>
      <c r="L5" s="1105"/>
      <c r="M5" s="1106"/>
      <c r="N5" s="1106"/>
      <c r="O5" s="1106"/>
      <c r="P5" s="1214"/>
      <c r="Q5" s="1215"/>
      <c r="R5" s="1215"/>
      <c r="S5" s="1215"/>
      <c r="T5" s="1215"/>
      <c r="U5" s="1215"/>
      <c r="V5" s="1215"/>
      <c r="W5" s="1215"/>
      <c r="X5" s="1216"/>
      <c r="Y5" s="1086"/>
      <c r="Z5" s="1086"/>
      <c r="AA5" s="1086"/>
      <c r="AB5" s="1086"/>
      <c r="AC5" s="1086"/>
      <c r="AD5" s="1086"/>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2" t="s">
        <v>2188</v>
      </c>
      <c r="CF7" s="1212"/>
      <c r="CG7" s="1212"/>
      <c r="CH7" s="1212"/>
      <c r="CI7" s="990" t="str">
        <f>IF(AND(AH62=1,AD41=""),1,"")</f>
        <v/>
      </c>
      <c r="CJ7" s="991"/>
    </row>
    <row r="8" spans="1:88" ht="17.25" customHeight="1" thickBot="1">
      <c r="B8" s="1109" t="s">
        <v>2146</v>
      </c>
      <c r="C8" s="1110"/>
      <c r="D8" s="1110"/>
      <c r="E8" s="1110"/>
      <c r="F8" s="1110"/>
      <c r="G8" s="1110"/>
      <c r="H8" s="1110"/>
      <c r="I8" s="1110"/>
      <c r="J8" s="1110"/>
      <c r="K8" s="1110"/>
      <c r="L8" s="1110"/>
      <c r="M8" s="1110"/>
      <c r="N8" s="1110"/>
      <c r="O8" s="1110"/>
      <c r="P8" s="1110"/>
      <c r="Q8" s="1110"/>
      <c r="R8" s="1110"/>
      <c r="S8" s="1111"/>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5" t="str">
        <f>IF(L9="ベア加算","",IF(OR(V8="新加算Ⅰ",V8="新加算Ⅱ",V8="新加算Ⅲ",V8="新加算Ⅳ"),"○",""))</f>
        <v/>
      </c>
      <c r="AU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5" t="str">
        <f>IF(OR(V8="新加算Ⅰ",V8="新加算Ⅱ",V8="新加算Ⅲ",V8="新加算Ⅴ(１)",V8="新加算Ⅴ(３)",V8="新加算Ⅴ(８)"),"○","")</f>
        <v/>
      </c>
      <c r="AX8" s="1205" t="str">
        <f>IF(OR(V8="新加算Ⅰ",V8="新加算Ⅱ",V8="新加算Ⅴ(１)",V8="新加算Ⅴ(２)",V8="新加算Ⅴ(３)",V8="新加算Ⅴ(４)",V8="新加算Ⅴ(５)",V8="新加算Ⅴ(６)",V8="新加算Ⅴ(７)",V8="新加算Ⅴ(９)",V8="新加算Ⅴ(10)",V8="新加算Ⅴ(12)"),"○","")</f>
        <v/>
      </c>
      <c r="AY8" s="1205" t="str">
        <f>IF(OR(V8="新加算Ⅰ",V8="新加算Ⅴ(１)",V8="新加算Ⅴ(２)",V8="新加算Ⅴ(５)",V8="新加算Ⅴ(７)",V8="新加算Ⅴ(10)"),"○","")</f>
        <v/>
      </c>
      <c r="AZ8" s="1205" t="str">
        <f>IF(OR(V8="新加算Ⅰ",V8="新加算Ⅱ",V8="新加算Ⅴ(１)",V8="新加算Ⅴ(２)",V8="新加算Ⅴ(３)",V8="新加算Ⅴ(４)",V8="新加算Ⅴ(５)",V8="新加算Ⅴ(６)",V8="新加算Ⅴ(７)",V8="新加算Ⅴ(９)",V8="新加算Ⅴ(10)",V8="新加算Ⅴ(12)"),"○","")</f>
        <v/>
      </c>
      <c r="BA8" s="84"/>
      <c r="CE8" s="1212" t="s">
        <v>2188</v>
      </c>
      <c r="CF8" s="1212"/>
      <c r="CG8" s="1212"/>
      <c r="CH8" s="1212"/>
      <c r="CI8" s="990" t="str">
        <f>IF(AND(AP62=1,AL41=""),1,"")</f>
        <v/>
      </c>
      <c r="CJ8" s="991"/>
    </row>
    <row r="9" spans="1:88" ht="26.25" customHeight="1">
      <c r="B9" s="1124"/>
      <c r="C9" s="1125"/>
      <c r="D9" s="1125"/>
      <c r="E9" s="1125"/>
      <c r="F9" s="1126"/>
      <c r="G9" s="1127"/>
      <c r="H9" s="1128"/>
      <c r="I9" s="1128"/>
      <c r="J9" s="1128"/>
      <c r="K9" s="1129"/>
      <c r="L9" s="1130"/>
      <c r="M9" s="1131"/>
      <c r="N9" s="1131"/>
      <c r="O9" s="1131"/>
      <c r="P9" s="1132"/>
      <c r="Q9" s="1107" t="s">
        <v>2052</v>
      </c>
      <c r="R9" s="1108"/>
      <c r="S9" s="1108"/>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6"/>
      <c r="AU9" s="1206"/>
      <c r="AV9" s="1206"/>
      <c r="AW9" s="1206"/>
      <c r="AX9" s="1206"/>
      <c r="AY9" s="1206"/>
      <c r="AZ9" s="1206"/>
      <c r="BA9" s="84"/>
      <c r="CE9" s="992" t="s">
        <v>2188</v>
      </c>
      <c r="CF9" s="992"/>
      <c r="CG9" s="992"/>
      <c r="CH9" s="992"/>
      <c r="CI9" s="990" t="str">
        <f>IF(OR(AH62=1,AP62=1),1,"")</f>
        <v/>
      </c>
      <c r="CJ9" s="991"/>
    </row>
    <row r="10" spans="1:88" ht="11.25" customHeight="1">
      <c r="B10" s="1133" t="str">
        <f>IFERROR(VLOOKUP(Y5,【参考】数式用!$A$5:$J$37,MATCH(B9,【参考】数式用!$B$4:$J$4,0)+1,0),"")</f>
        <v/>
      </c>
      <c r="C10" s="1134"/>
      <c r="D10" s="1134"/>
      <c r="E10" s="1134"/>
      <c r="F10" s="1135"/>
      <c r="G10" s="1133" t="str">
        <f>IFERROR(VLOOKUP(Y5,【参考】数式用!$A$5:$J$37,MATCH(G9,【参考】数式用!$B$4:$J$4,0)+1,0),"")</f>
        <v/>
      </c>
      <c r="H10" s="1134"/>
      <c r="I10" s="1134"/>
      <c r="J10" s="1134"/>
      <c r="K10" s="1135"/>
      <c r="L10" s="1139" t="str">
        <f>IFERROR(VLOOKUP(Y5,【参考】数式用!$A$5:$J$37,MATCH(L9,【参考】数式用!$B$4:$J$4,0)+1,0),"")</f>
        <v/>
      </c>
      <c r="M10" s="1140"/>
      <c r="N10" s="1140"/>
      <c r="O10" s="1140"/>
      <c r="P10" s="1141"/>
      <c r="Q10" s="1145">
        <f>SUM(B10,G10,L10)</f>
        <v>0</v>
      </c>
      <c r="R10" s="1146"/>
      <c r="S10" s="114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6"/>
      <c r="C11" s="1137"/>
      <c r="D11" s="1137"/>
      <c r="E11" s="1137"/>
      <c r="F11" s="1138"/>
      <c r="G11" s="1136"/>
      <c r="H11" s="1137"/>
      <c r="I11" s="1137"/>
      <c r="J11" s="1137"/>
      <c r="K11" s="1138"/>
      <c r="L11" s="1142"/>
      <c r="M11" s="1143"/>
      <c r="N11" s="1143"/>
      <c r="O11" s="1143"/>
      <c r="P11" s="1144"/>
      <c r="Q11" s="1145"/>
      <c r="R11" s="1146"/>
      <c r="S11" s="1146"/>
      <c r="T11" s="1033"/>
      <c r="U11" s="1023"/>
      <c r="V11" s="1075" t="str">
        <f>IFERROR(IF(VLOOKUP(AS1,【参考】数式用2!E6:L23,5,FALSE)="","",VLOOKUP(AS1,【参考】数式用2!E6:L23,5,FALSE)),"")</f>
        <v/>
      </c>
      <c r="W11" s="1075"/>
      <c r="X11" s="1075"/>
      <c r="Y11" s="1075"/>
      <c r="Z11" s="1075"/>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5" t="str">
        <f>IF(L9="ベア加算","",IF(OR(V11="新加算Ⅰ",V11="新加算Ⅱ",V11="新加算Ⅲ",V11="新加算Ⅳ"),"○",""))</f>
        <v/>
      </c>
      <c r="AU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5" t="str">
        <f>IF(OR(V11="新加算Ⅰ",V11="新加算Ⅱ",V11="新加算Ⅲ",V11="新加算Ⅴ(１)",V11="新加算Ⅴ(３)",V11="新加算Ⅴ(８)"),"○","")</f>
        <v/>
      </c>
      <c r="AX11" s="1205" t="str">
        <f>IF(OR(V11="新加算Ⅰ",V11="新加算Ⅱ",V11="新加算Ⅴ(１)",V11="新加算Ⅴ(２)",V11="新加算Ⅴ(３)",V11="新加算Ⅴ(４)",V11="新加算Ⅴ(５)",V11="新加算Ⅴ(６)",V11="新加算Ⅴ(７)",V11="新加算Ⅴ(９)",V11="新加算Ⅴ(10)",V11="新加算Ⅴ(12)"),"○","")</f>
        <v/>
      </c>
      <c r="AY11" s="1205" t="str">
        <f>IF(OR(V11="新加算Ⅰ",V11="新加算Ⅴ(１)",V11="新加算Ⅴ(２)",V11="新加算Ⅴ(５)",V11="新加算Ⅴ(７)",V11="新加算Ⅴ(10)"),"○","")</f>
        <v/>
      </c>
      <c r="AZ11" s="1205"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2"/>
      <c r="D12" s="1102"/>
      <c r="E12" s="1102"/>
      <c r="F12" s="1102"/>
      <c r="G12" s="1102"/>
      <c r="H12" s="1102"/>
      <c r="I12" s="1102"/>
      <c r="J12" s="1102"/>
      <c r="K12" s="1102"/>
      <c r="L12" s="1102"/>
      <c r="M12" s="1102"/>
      <c r="N12" s="1102"/>
      <c r="O12" s="1102"/>
      <c r="P12" s="1102"/>
      <c r="Q12" s="1102"/>
      <c r="R12" s="1102"/>
      <c r="S12" s="1102"/>
      <c r="T12" s="1033"/>
      <c r="U12" s="1023"/>
      <c r="V12" s="1213" t="str">
        <f>IFERROR(VLOOKUP(Y5,【参考】数式用!$A$5:$AB$37,MATCH(V11,【参考】数式用!$B$4:$AB$4,0)+1,FALSE),"")</f>
        <v/>
      </c>
      <c r="W12" s="1213"/>
      <c r="X12" s="1213"/>
      <c r="Y12" s="1213"/>
      <c r="Z12" s="1213"/>
      <c r="AA12" s="995"/>
      <c r="AB12" s="995"/>
      <c r="AC12" s="995"/>
      <c r="AD12" s="995"/>
      <c r="AE12" s="995"/>
      <c r="AF12" s="995"/>
      <c r="AG12" s="995"/>
      <c r="AH12" s="995"/>
      <c r="AI12" s="995"/>
      <c r="AJ12" s="995"/>
      <c r="AK12" s="995"/>
      <c r="AL12" s="995"/>
      <c r="AM12" s="995"/>
      <c r="AN12" s="995"/>
      <c r="AO12" s="995"/>
      <c r="AP12" s="996"/>
      <c r="AS12" s="83"/>
      <c r="AT12" s="1206"/>
      <c r="AU12" s="1206"/>
      <c r="AV12" s="1206"/>
      <c r="AW12" s="1206"/>
      <c r="AX12" s="1206"/>
      <c r="AY12" s="1206"/>
      <c r="AZ12" s="1206"/>
      <c r="BA12" s="84"/>
    </row>
    <row r="13" spans="1:88" ht="12" customHeight="1">
      <c r="A13" s="78"/>
      <c r="B13" s="1066" t="s">
        <v>2116</v>
      </c>
      <c r="C13" s="1067"/>
      <c r="D13" s="1067"/>
      <c r="E13" s="1067"/>
      <c r="F13" s="1067"/>
      <c r="G13" s="1067"/>
      <c r="H13" s="1067"/>
      <c r="I13" s="1067"/>
      <c r="J13" s="1067"/>
      <c r="K13" s="1067"/>
      <c r="L13" s="1067"/>
      <c r="M13" s="1067"/>
      <c r="N13" s="1067"/>
      <c r="O13" s="1067"/>
      <c r="P13" s="1067"/>
      <c r="Q13" s="1067"/>
      <c r="R13" s="1067"/>
      <c r="S13" s="1068"/>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69"/>
      <c r="C14" s="1070"/>
      <c r="D14" s="1070"/>
      <c r="E14" s="1070"/>
      <c r="F14" s="1070"/>
      <c r="G14" s="1070"/>
      <c r="H14" s="1070"/>
      <c r="I14" s="1070"/>
      <c r="J14" s="1070"/>
      <c r="K14" s="1070"/>
      <c r="L14" s="1070"/>
      <c r="M14" s="1070"/>
      <c r="N14" s="1070"/>
      <c r="O14" s="1070"/>
      <c r="P14" s="1070"/>
      <c r="Q14" s="1070"/>
      <c r="R14" s="1070"/>
      <c r="S14" s="1071"/>
      <c r="U14" s="533"/>
      <c r="V14" s="1075" t="str">
        <f>IFERROR(IF(VLOOKUP(AS1,【参考】数式用2!E6:L23,7,FALSE)="","",VLOOKUP(AS1,【参考】数式用2!E6:L23,7,FALSE)),"")</f>
        <v/>
      </c>
      <c r="W14" s="1075"/>
      <c r="X14" s="1075"/>
      <c r="Y14" s="1075"/>
      <c r="Z14" s="1075"/>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5" t="str">
        <f>IF(L9="ベア加算","",IF(OR(V14="新加算Ⅰ",V14="新加算Ⅱ",V14="新加算Ⅲ",V14="新加算Ⅳ"),"○",""))</f>
        <v/>
      </c>
      <c r="AU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5" t="str">
        <f>IF(OR(V14="新加算Ⅰ",V14="新加算Ⅱ",V14="新加算Ⅲ",V14="新加算Ⅴ(１)",V14="新加算Ⅴ(３)",V14="新加算Ⅴ(８)"),"○","")</f>
        <v/>
      </c>
      <c r="AX14" s="1205" t="str">
        <f>IF(OR(V14="新加算Ⅰ",V14="新加算Ⅱ",V14="新加算Ⅴ(１)",V14="新加算Ⅴ(２)",V14="新加算Ⅴ(３)",V14="新加算Ⅴ(４)",V14="新加算Ⅴ(５)",V14="新加算Ⅴ(６)",V14="新加算Ⅴ(７)",V14="新加算Ⅴ(９)",V14="新加算Ⅴ(10)",V14="新加算Ⅴ(12)"),"○","")</f>
        <v/>
      </c>
      <c r="AY14" s="1205" t="str">
        <f>IF(OR(V14="新加算Ⅰ",V14="新加算Ⅴ(１)",V14="新加算Ⅴ(２)",V14="新加算Ⅴ(５)",V14="新加算Ⅴ(７)",V14="新加算Ⅴ(10)"),"○","")</f>
        <v/>
      </c>
      <c r="AZ14" s="1205"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7" t="s">
        <v>2110</v>
      </c>
      <c r="C15" s="1058"/>
      <c r="D15" s="54">
        <v>6</v>
      </c>
      <c r="E15" s="537" t="s">
        <v>2111</v>
      </c>
      <c r="F15" s="54">
        <v>4</v>
      </c>
      <c r="G15" s="537" t="s">
        <v>2112</v>
      </c>
      <c r="H15" s="1059" t="s">
        <v>2113</v>
      </c>
      <c r="I15" s="1059"/>
      <c r="J15" s="1072"/>
      <c r="K15" s="54">
        <v>7</v>
      </c>
      <c r="L15" s="537" t="s">
        <v>2111</v>
      </c>
      <c r="M15" s="54">
        <v>3</v>
      </c>
      <c r="N15" s="537" t="s">
        <v>2112</v>
      </c>
      <c r="O15" s="537" t="s">
        <v>2114</v>
      </c>
      <c r="P15" s="104">
        <f>(K15*12+M15)-(D15*12+F15)+1</f>
        <v>12</v>
      </c>
      <c r="Q15" s="1059" t="s">
        <v>2115</v>
      </c>
      <c r="R15" s="1059"/>
      <c r="S15" s="105" t="s">
        <v>69</v>
      </c>
      <c r="U15" s="533"/>
      <c r="V15" s="1060" t="str">
        <f>IFERROR(VLOOKUP(Y5,【参考】数式用!$A$5:$AB$37,MATCH(V14,【参考】数式用!$B$4:$AB$4,0)+1,FALSE),"")</f>
        <v/>
      </c>
      <c r="W15" s="1061"/>
      <c r="X15" s="1061"/>
      <c r="Y15" s="1061"/>
      <c r="Z15" s="1062"/>
      <c r="AA15" s="1026"/>
      <c r="AB15" s="1027"/>
      <c r="AC15" s="1027"/>
      <c r="AD15" s="1027"/>
      <c r="AE15" s="1027"/>
      <c r="AF15" s="1027"/>
      <c r="AG15" s="1027"/>
      <c r="AH15" s="1027"/>
      <c r="AI15" s="1027"/>
      <c r="AJ15" s="1027"/>
      <c r="AK15" s="1027"/>
      <c r="AL15" s="1027"/>
      <c r="AM15" s="1027"/>
      <c r="AN15" s="1027"/>
      <c r="AO15" s="1027"/>
      <c r="AP15" s="1028"/>
      <c r="AS15" s="83"/>
      <c r="AT15" s="1207"/>
      <c r="AU15" s="1207"/>
      <c r="AV15" s="1207"/>
      <c r="AW15" s="1207"/>
      <c r="AX15" s="1207"/>
      <c r="AY15" s="1207"/>
      <c r="AZ15" s="1207"/>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3"/>
      <c r="W16" s="1064"/>
      <c r="X16" s="1064"/>
      <c r="Y16" s="1064"/>
      <c r="Z16" s="1065"/>
      <c r="AA16" s="1029"/>
      <c r="AB16" s="1030"/>
      <c r="AC16" s="1030"/>
      <c r="AD16" s="1030"/>
      <c r="AE16" s="1030"/>
      <c r="AF16" s="1030"/>
      <c r="AG16" s="1030"/>
      <c r="AH16" s="1030"/>
      <c r="AI16" s="1030"/>
      <c r="AJ16" s="1030"/>
      <c r="AK16" s="1030"/>
      <c r="AL16" s="1030"/>
      <c r="AM16" s="1030"/>
      <c r="AN16" s="1030"/>
      <c r="AO16" s="1030"/>
      <c r="AP16" s="1031"/>
      <c r="AS16" s="83"/>
      <c r="AT16" s="1206"/>
      <c r="AU16" s="1206"/>
      <c r="AV16" s="1206"/>
      <c r="AW16" s="1206"/>
      <c r="AX16" s="1206"/>
      <c r="AY16" s="1206"/>
      <c r="AZ16" s="1206"/>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8" t="s">
        <v>2063</v>
      </c>
      <c r="C18" s="1168"/>
      <c r="D18" s="1168"/>
      <c r="E18" s="1168"/>
      <c r="F18" s="1168"/>
      <c r="G18" s="1168"/>
      <c r="H18" s="1168"/>
      <c r="I18" s="1168"/>
      <c r="J18" s="1168"/>
      <c r="K18" s="1168"/>
      <c r="L18" s="1168"/>
      <c r="M18" s="1168"/>
      <c r="N18" s="1168"/>
      <c r="O18" s="1168"/>
      <c r="P18" s="1168"/>
      <c r="Q18" s="1168"/>
      <c r="R18" s="1168"/>
      <c r="S18" s="1168"/>
      <c r="AI18" s="116"/>
      <c r="AJ18" s="116"/>
      <c r="AK18" s="116"/>
      <c r="AL18" s="116"/>
      <c r="AM18" s="116"/>
      <c r="AN18" s="116"/>
      <c r="AO18" s="116"/>
      <c r="AP18" s="116"/>
      <c r="AQ18" s="116"/>
    </row>
    <row r="19" spans="2:60" ht="6" customHeight="1" thickBot="1">
      <c r="B19" s="1168"/>
      <c r="C19" s="1168"/>
      <c r="D19" s="1168"/>
      <c r="E19" s="1168"/>
      <c r="F19" s="1168"/>
      <c r="G19" s="1168"/>
      <c r="H19" s="1168"/>
      <c r="I19" s="1168"/>
      <c r="J19" s="1168"/>
      <c r="K19" s="1168"/>
      <c r="L19" s="1168"/>
      <c r="M19" s="1168"/>
      <c r="N19" s="1168"/>
      <c r="O19" s="1168"/>
      <c r="P19" s="1168"/>
      <c r="Q19" s="1168"/>
      <c r="R19" s="1168"/>
      <c r="S19" s="1168"/>
      <c r="AI19" s="116"/>
      <c r="AJ19" s="116"/>
      <c r="AK19" s="116"/>
      <c r="AL19" s="116"/>
      <c r="AM19" s="116"/>
      <c r="AN19" s="116"/>
      <c r="AO19" s="116"/>
      <c r="AP19" s="116"/>
      <c r="AQ19" s="116"/>
    </row>
    <row r="20" spans="2:60" ht="13.05" customHeight="1">
      <c r="B20" s="1169"/>
      <c r="C20" s="1169"/>
      <c r="D20" s="1169"/>
      <c r="E20" s="1169"/>
      <c r="F20" s="1169"/>
      <c r="G20" s="1169"/>
      <c r="H20" s="1169"/>
      <c r="I20" s="1169"/>
      <c r="J20" s="1169"/>
      <c r="K20" s="1169"/>
      <c r="L20" s="1169"/>
      <c r="M20" s="1169"/>
      <c r="N20" s="1169"/>
      <c r="O20" s="1169"/>
      <c r="P20" s="1169"/>
      <c r="Q20" s="1169"/>
      <c r="R20" s="1169"/>
      <c r="S20" s="1169"/>
      <c r="T20" s="117"/>
      <c r="U20" s="78"/>
      <c r="V20" s="1159" t="s">
        <v>216</v>
      </c>
      <c r="W20" s="1159"/>
      <c r="X20" s="1159"/>
      <c r="Y20" s="1159"/>
      <c r="Z20" s="1159"/>
      <c r="AA20" s="91"/>
      <c r="AB20" s="91"/>
      <c r="AC20" s="1159" t="str">
        <f>IF(F15=4,"R6.4～R6.5",IF(F15=5,"R6.5",""))</f>
        <v>R6.4～R6.5</v>
      </c>
      <c r="AD20" s="1159"/>
      <c r="AE20" s="1159"/>
      <c r="AF20" s="1159"/>
      <c r="AG20" s="1159"/>
      <c r="AH20" s="1159"/>
      <c r="AI20" s="91"/>
      <c r="AJ20" s="91"/>
      <c r="AK20" s="1159" t="str">
        <f>IF(OR(F15=4,F15=5),"R6.6","R"&amp;D15&amp;"."&amp;F15)&amp;"～R"&amp;K15&amp;"."&amp;M15</f>
        <v>R6.6～R7.3</v>
      </c>
      <c r="AL20" s="1159"/>
      <c r="AM20" s="1159"/>
      <c r="AN20" s="1159"/>
      <c r="AO20" s="1159"/>
      <c r="AP20" s="1159"/>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7" t="s">
        <v>2122</v>
      </c>
      <c r="C21" s="1148"/>
      <c r="D21" s="1148"/>
      <c r="E21" s="1148"/>
      <c r="F21" s="1149"/>
      <c r="G21" s="1076" t="s">
        <v>217</v>
      </c>
      <c r="H21" s="1077"/>
      <c r="I21" s="1077"/>
      <c r="J21" s="1077"/>
      <c r="K21" s="1077"/>
      <c r="L21" s="1077"/>
      <c r="M21" s="1077"/>
      <c r="N21" s="1077"/>
      <c r="O21" s="1077"/>
      <c r="P21" s="1077"/>
      <c r="Q21" s="1077"/>
      <c r="R21" s="1077"/>
      <c r="S21" s="1077"/>
      <c r="T21" s="1078"/>
      <c r="U21" s="118"/>
      <c r="V21" s="538" t="str">
        <f>IFERROR(IF(L9="ベア加算","✓",""),"")</f>
        <v/>
      </c>
      <c r="W21" s="1032" t="s">
        <v>14</v>
      </c>
      <c r="X21" s="1032"/>
      <c r="Y21" s="1032"/>
      <c r="Z21" s="1032"/>
      <c r="AA21" s="1022" t="s">
        <v>12</v>
      </c>
      <c r="AB21" s="1023"/>
      <c r="AC21" s="120"/>
      <c r="AD21" s="1052" t="s">
        <v>14</v>
      </c>
      <c r="AE21" s="1052"/>
      <c r="AF21" s="1052"/>
      <c r="AG21" s="1052"/>
      <c r="AH21" s="1052"/>
      <c r="AI21" s="1022" t="s">
        <v>12</v>
      </c>
      <c r="AJ21" s="1023"/>
      <c r="AK21" s="121"/>
      <c r="AL21" s="1052" t="s">
        <v>14</v>
      </c>
      <c r="AM21" s="1052"/>
      <c r="AN21" s="1052"/>
      <c r="AO21" s="1052"/>
      <c r="AP21" s="1052"/>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3"/>
      <c r="C22" s="1154"/>
      <c r="D22" s="1154"/>
      <c r="E22" s="1154"/>
      <c r="F22" s="1155"/>
      <c r="G22" s="1080"/>
      <c r="H22" s="1081"/>
      <c r="I22" s="1081"/>
      <c r="J22" s="1081"/>
      <c r="K22" s="1081"/>
      <c r="L22" s="1081"/>
      <c r="M22" s="1081"/>
      <c r="N22" s="1081"/>
      <c r="O22" s="1081"/>
      <c r="P22" s="1081"/>
      <c r="Q22" s="1081"/>
      <c r="R22" s="1081"/>
      <c r="S22" s="1081"/>
      <c r="T22" s="1082"/>
      <c r="U22" s="118"/>
      <c r="V22" s="122" t="str">
        <f>IFERROR(IF(L9="ベア加算なし","✓",""),"")</f>
        <v/>
      </c>
      <c r="W22" s="1053" t="s">
        <v>15</v>
      </c>
      <c r="X22" s="1032"/>
      <c r="Y22" s="1054"/>
      <c r="Z22" s="1055"/>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7" t="s">
        <v>2068</v>
      </c>
      <c r="C24" s="1148"/>
      <c r="D24" s="1148"/>
      <c r="E24" s="1148"/>
      <c r="F24" s="1149"/>
      <c r="G24" s="1076" t="s">
        <v>2321</v>
      </c>
      <c r="H24" s="1077"/>
      <c r="I24" s="1077"/>
      <c r="J24" s="1077"/>
      <c r="K24" s="1077"/>
      <c r="L24" s="1077"/>
      <c r="M24" s="1077"/>
      <c r="N24" s="1077"/>
      <c r="O24" s="1077"/>
      <c r="P24" s="1077"/>
      <c r="Q24" s="1077"/>
      <c r="R24" s="1077"/>
      <c r="S24" s="1077"/>
      <c r="T24" s="1078"/>
      <c r="U24" s="118"/>
      <c r="V24" s="538" t="str">
        <f>IFERROR(IF(OR(B9="処遇加算Ⅰ",B9="処遇加算Ⅱ"),"✓",""),"")</f>
        <v/>
      </c>
      <c r="W24" s="1156" t="s">
        <v>2097</v>
      </c>
      <c r="X24" s="1157"/>
      <c r="Y24" s="1157"/>
      <c r="Z24" s="1158"/>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0"/>
      <c r="C25" s="1151"/>
      <c r="D25" s="1151"/>
      <c r="E25" s="1151"/>
      <c r="F25" s="1152"/>
      <c r="G25" s="1026"/>
      <c r="H25" s="1027"/>
      <c r="I25" s="1027"/>
      <c r="J25" s="1027"/>
      <c r="K25" s="1027"/>
      <c r="L25" s="1027"/>
      <c r="M25" s="1027"/>
      <c r="N25" s="1027"/>
      <c r="O25" s="1027"/>
      <c r="P25" s="1027"/>
      <c r="Q25" s="1027"/>
      <c r="R25" s="1027"/>
      <c r="S25" s="1027"/>
      <c r="T25" s="1079"/>
      <c r="U25" s="118"/>
      <c r="V25" s="538" t="str">
        <f>IFERROR(IF(B9="処遇加算Ⅲ","✓",""),"")</f>
        <v/>
      </c>
      <c r="W25" s="1156" t="s">
        <v>19</v>
      </c>
      <c r="X25" s="1157"/>
      <c r="Y25" s="1157"/>
      <c r="Z25" s="1158"/>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3"/>
      <c r="C26" s="1154"/>
      <c r="D26" s="1154"/>
      <c r="E26" s="1154"/>
      <c r="F26" s="1155"/>
      <c r="G26" s="1080"/>
      <c r="H26" s="1081"/>
      <c r="I26" s="1081"/>
      <c r="J26" s="1081"/>
      <c r="K26" s="1081"/>
      <c r="L26" s="1081"/>
      <c r="M26" s="1081"/>
      <c r="N26" s="1081"/>
      <c r="O26" s="1081"/>
      <c r="P26" s="1081"/>
      <c r="Q26" s="1081"/>
      <c r="R26" s="1081"/>
      <c r="S26" s="1081"/>
      <c r="T26" s="1082"/>
      <c r="U26" s="92"/>
      <c r="V26" s="538" t="str">
        <f>IFERROR(IF(B9="処遇加算なし","✓",""),"")</f>
        <v/>
      </c>
      <c r="W26" s="1156" t="s">
        <v>2098</v>
      </c>
      <c r="X26" s="1157"/>
      <c r="Y26" s="1157"/>
      <c r="Z26" s="1158"/>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7" t="s">
        <v>2069</v>
      </c>
      <c r="C28" s="1148"/>
      <c r="D28" s="1148"/>
      <c r="E28" s="1148"/>
      <c r="F28" s="1149"/>
      <c r="G28" s="1076" t="s">
        <v>2322</v>
      </c>
      <c r="H28" s="1077"/>
      <c r="I28" s="1077"/>
      <c r="J28" s="1077"/>
      <c r="K28" s="1077"/>
      <c r="L28" s="1077"/>
      <c r="M28" s="1077"/>
      <c r="N28" s="1077"/>
      <c r="O28" s="1077"/>
      <c r="P28" s="1077"/>
      <c r="Q28" s="1077"/>
      <c r="R28" s="1077"/>
      <c r="S28" s="1077"/>
      <c r="T28" s="1078"/>
      <c r="U28" s="118"/>
      <c r="V28" s="538" t="str">
        <f>IFERROR(IF(OR(B9="処遇加算Ⅰ",B9="処遇加算Ⅱ"),"✓",""),"")</f>
        <v/>
      </c>
      <c r="W28" s="1156" t="s">
        <v>2097</v>
      </c>
      <c r="X28" s="1157"/>
      <c r="Y28" s="1157"/>
      <c r="Z28" s="1158"/>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0"/>
      <c r="C29" s="1151"/>
      <c r="D29" s="1151"/>
      <c r="E29" s="1151"/>
      <c r="F29" s="1152"/>
      <c r="G29" s="1026"/>
      <c r="H29" s="1027"/>
      <c r="I29" s="1027"/>
      <c r="J29" s="1027"/>
      <c r="K29" s="1027"/>
      <c r="L29" s="1027"/>
      <c r="M29" s="1027"/>
      <c r="N29" s="1027"/>
      <c r="O29" s="1027"/>
      <c r="P29" s="1027"/>
      <c r="Q29" s="1027"/>
      <c r="R29" s="1027"/>
      <c r="S29" s="1027"/>
      <c r="T29" s="1079"/>
      <c r="U29" s="118"/>
      <c r="V29" s="538" t="str">
        <f>IFERROR(IF(B9="処遇加算Ⅲ","✓",""),"")</f>
        <v/>
      </c>
      <c r="W29" s="1156" t="s">
        <v>19</v>
      </c>
      <c r="X29" s="1157"/>
      <c r="Y29" s="1157"/>
      <c r="Z29" s="1158"/>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3"/>
      <c r="C30" s="1154"/>
      <c r="D30" s="1154"/>
      <c r="E30" s="1154"/>
      <c r="F30" s="1155"/>
      <c r="G30" s="1080"/>
      <c r="H30" s="1081"/>
      <c r="I30" s="1081"/>
      <c r="J30" s="1081"/>
      <c r="K30" s="1081"/>
      <c r="L30" s="1081"/>
      <c r="M30" s="1081"/>
      <c r="N30" s="1081"/>
      <c r="O30" s="1081"/>
      <c r="P30" s="1081"/>
      <c r="Q30" s="1081"/>
      <c r="R30" s="1081"/>
      <c r="S30" s="1081"/>
      <c r="T30" s="1082"/>
      <c r="U30" s="92"/>
      <c r="V30" s="538" t="str">
        <f>IFERROR(IF(B9="処遇加算なし","✓",""),"")</f>
        <v/>
      </c>
      <c r="W30" s="1156" t="s">
        <v>2098</v>
      </c>
      <c r="X30" s="1157"/>
      <c r="Y30" s="1157"/>
      <c r="Z30" s="1158"/>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3" t="s">
        <v>2070</v>
      </c>
      <c r="C32" s="1123"/>
      <c r="D32" s="1123"/>
      <c r="E32" s="1123"/>
      <c r="F32" s="1123"/>
      <c r="G32" s="1076" t="s">
        <v>2323</v>
      </c>
      <c r="H32" s="1077"/>
      <c r="I32" s="1077"/>
      <c r="J32" s="1077"/>
      <c r="K32" s="1077"/>
      <c r="L32" s="1077"/>
      <c r="M32" s="1077"/>
      <c r="N32" s="1077"/>
      <c r="O32" s="1077"/>
      <c r="P32" s="1077"/>
      <c r="Q32" s="1077"/>
      <c r="R32" s="1077"/>
      <c r="S32" s="1077"/>
      <c r="T32" s="1078"/>
      <c r="U32" s="118"/>
      <c r="V32" s="538" t="str">
        <f>IFERROR(IF(B9="処遇加算Ⅰ","✓",""),"")</f>
        <v/>
      </c>
      <c r="W32" s="1053" t="s">
        <v>14</v>
      </c>
      <c r="X32" s="1054"/>
      <c r="Y32" s="1054"/>
      <c r="Z32" s="1055"/>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3"/>
      <c r="C33" s="1123"/>
      <c r="D33" s="1123"/>
      <c r="E33" s="1123"/>
      <c r="F33" s="1123"/>
      <c r="G33" s="1026"/>
      <c r="H33" s="1027"/>
      <c r="I33" s="1027"/>
      <c r="J33" s="1027"/>
      <c r="K33" s="1027"/>
      <c r="L33" s="1027"/>
      <c r="M33" s="1027"/>
      <c r="N33" s="1027"/>
      <c r="O33" s="1027"/>
      <c r="P33" s="1027"/>
      <c r="Q33" s="1027"/>
      <c r="R33" s="1027"/>
      <c r="S33" s="1027"/>
      <c r="T33" s="1079"/>
      <c r="U33" s="118"/>
      <c r="V33" s="538" t="str">
        <f>IFERROR(IF(AND(B9&lt;&gt;"",B9&lt;&gt;"処遇加算Ⅰ"),"✓",""),"")</f>
        <v/>
      </c>
      <c r="W33" s="1053" t="s">
        <v>15</v>
      </c>
      <c r="X33" s="1054"/>
      <c r="Y33" s="1054"/>
      <c r="Z33" s="1055"/>
      <c r="AA33" s="1033"/>
      <c r="AB33" s="1023"/>
      <c r="AC33" s="120"/>
      <c r="AD33" s="1056" t="s">
        <v>17</v>
      </c>
      <c r="AE33" s="1056"/>
      <c r="AF33" s="1056"/>
      <c r="AG33" s="1056"/>
      <c r="AH33" s="1056"/>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3"/>
      <c r="C34" s="1123"/>
      <c r="D34" s="1123"/>
      <c r="E34" s="1123"/>
      <c r="F34" s="1123"/>
      <c r="G34" s="1080"/>
      <c r="H34" s="1081"/>
      <c r="I34" s="1081"/>
      <c r="J34" s="1081"/>
      <c r="K34" s="1081"/>
      <c r="L34" s="1081"/>
      <c r="M34" s="1081"/>
      <c r="N34" s="1081"/>
      <c r="O34" s="1081"/>
      <c r="P34" s="1081"/>
      <c r="Q34" s="1081"/>
      <c r="R34" s="1081"/>
      <c r="S34" s="1081"/>
      <c r="T34" s="1082"/>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3" t="s">
        <v>2071</v>
      </c>
      <c r="C36" s="1123"/>
      <c r="D36" s="1123"/>
      <c r="E36" s="1123"/>
      <c r="F36" s="1123"/>
      <c r="G36" s="1093" t="s">
        <v>2324</v>
      </c>
      <c r="H36" s="1094"/>
      <c r="I36" s="1094"/>
      <c r="J36" s="1094"/>
      <c r="K36" s="1094"/>
      <c r="L36" s="1094"/>
      <c r="M36" s="1094"/>
      <c r="N36" s="1094"/>
      <c r="O36" s="1094"/>
      <c r="P36" s="1094"/>
      <c r="Q36" s="1094"/>
      <c r="R36" s="1094"/>
      <c r="S36" s="1094"/>
      <c r="T36" s="1095"/>
      <c r="U36" s="118"/>
      <c r="V36" s="538" t="str">
        <f>IFERROR(IF(OR(G9="特定加算Ⅰ",G9="特定加算Ⅱ"),"✓",""),"")</f>
        <v/>
      </c>
      <c r="W36" s="1053" t="s">
        <v>14</v>
      </c>
      <c r="X36" s="1054"/>
      <c r="Y36" s="1054"/>
      <c r="Z36" s="1055"/>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3"/>
      <c r="C37" s="1123"/>
      <c r="D37" s="1123"/>
      <c r="E37" s="1123"/>
      <c r="F37" s="1123"/>
      <c r="G37" s="1096"/>
      <c r="H37" s="1097"/>
      <c r="I37" s="1097"/>
      <c r="J37" s="1097"/>
      <c r="K37" s="1097"/>
      <c r="L37" s="1097"/>
      <c r="M37" s="1097"/>
      <c r="N37" s="1097"/>
      <c r="O37" s="1097"/>
      <c r="P37" s="1097"/>
      <c r="Q37" s="1097"/>
      <c r="R37" s="1097"/>
      <c r="S37" s="1097"/>
      <c r="T37" s="1098"/>
      <c r="U37" s="118"/>
      <c r="V37" s="538" t="str">
        <f>IFERROR(IF(G9="特定加算なし","✓",""),"")</f>
        <v/>
      </c>
      <c r="W37" s="1053" t="s">
        <v>15</v>
      </c>
      <c r="X37" s="1054"/>
      <c r="Y37" s="1054"/>
      <c r="Z37" s="1055"/>
      <c r="AA37" s="1022"/>
      <c r="AB37" s="1023"/>
      <c r="AC37" s="1047" t="s">
        <v>2176</v>
      </c>
      <c r="AD37" s="1048"/>
      <c r="AE37" s="1048"/>
      <c r="AF37" s="1048"/>
      <c r="AG37" s="1049"/>
      <c r="AH37" s="1050"/>
      <c r="AI37" s="1022"/>
      <c r="AJ37" s="1023"/>
      <c r="AK37" s="1047" t="s">
        <v>2176</v>
      </c>
      <c r="AL37" s="1048"/>
      <c r="AM37" s="1048"/>
      <c r="AN37" s="1048"/>
      <c r="AO37" s="1049"/>
      <c r="AP37" s="1050"/>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3"/>
      <c r="C38" s="1123"/>
      <c r="D38" s="1123"/>
      <c r="E38" s="1123"/>
      <c r="F38" s="1123"/>
      <c r="G38" s="1099"/>
      <c r="H38" s="1100"/>
      <c r="I38" s="1100"/>
      <c r="J38" s="1100"/>
      <c r="K38" s="1100"/>
      <c r="L38" s="1100"/>
      <c r="M38" s="1100"/>
      <c r="N38" s="1100"/>
      <c r="O38" s="1100"/>
      <c r="P38" s="1100"/>
      <c r="Q38" s="1100"/>
      <c r="R38" s="1100"/>
      <c r="S38" s="1100"/>
      <c r="T38" s="1101"/>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3" t="s">
        <v>2072</v>
      </c>
      <c r="C40" s="1123"/>
      <c r="D40" s="1123"/>
      <c r="E40" s="1123"/>
      <c r="F40" s="1123"/>
      <c r="G40" s="1076" t="str">
        <f>IFERROR(VLOOKUP(Y5,【参考】数式用!AQ5:AR37,2,0),"")</f>
        <v/>
      </c>
      <c r="H40" s="1077"/>
      <c r="I40" s="1077"/>
      <c r="J40" s="1077"/>
      <c r="K40" s="1077"/>
      <c r="L40" s="1077"/>
      <c r="M40" s="1077"/>
      <c r="N40" s="1077"/>
      <c r="O40" s="1077"/>
      <c r="P40" s="1077"/>
      <c r="Q40" s="1077"/>
      <c r="R40" s="1077"/>
      <c r="S40" s="1077"/>
      <c r="T40" s="1078"/>
      <c r="U40" s="92"/>
      <c r="V40" s="538" t="str">
        <f>IFERROR(IF(G9="特定加算Ⅰ","✓",""),"")</f>
        <v/>
      </c>
      <c r="W40" s="1053" t="s">
        <v>14</v>
      </c>
      <c r="X40" s="1054"/>
      <c r="Y40" s="1054"/>
      <c r="Z40" s="1055"/>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3"/>
      <c r="C41" s="1123"/>
      <c r="D41" s="1123"/>
      <c r="E41" s="1123"/>
      <c r="F41" s="1123"/>
      <c r="G41" s="1026"/>
      <c r="H41" s="1027"/>
      <c r="I41" s="1027"/>
      <c r="J41" s="1027"/>
      <c r="K41" s="1027"/>
      <c r="L41" s="1027"/>
      <c r="M41" s="1027"/>
      <c r="N41" s="1027"/>
      <c r="O41" s="1027"/>
      <c r="P41" s="1027"/>
      <c r="Q41" s="1027"/>
      <c r="R41" s="1027"/>
      <c r="S41" s="1027"/>
      <c r="T41" s="1079"/>
      <c r="U41" s="92"/>
      <c r="V41" s="538" t="str">
        <f>IFERROR(IF(OR(G9="特定加算Ⅱ",G9="特定加算なし"),"✓",""),"")</f>
        <v/>
      </c>
      <c r="W41" s="1053" t="s">
        <v>15</v>
      </c>
      <c r="X41" s="1054"/>
      <c r="Y41" s="1054"/>
      <c r="Z41" s="1055"/>
      <c r="AA41" s="1022"/>
      <c r="AB41" s="1023"/>
      <c r="AC41" s="134" t="s">
        <v>83</v>
      </c>
      <c r="AD41" s="1160"/>
      <c r="AE41" s="1161"/>
      <c r="AF41" s="1161"/>
      <c r="AG41" s="1161"/>
      <c r="AH41" s="1162"/>
      <c r="AI41" s="1022"/>
      <c r="AJ41" s="1023"/>
      <c r="AK41" s="134" t="s">
        <v>83</v>
      </c>
      <c r="AL41" s="1160"/>
      <c r="AM41" s="1161"/>
      <c r="AN41" s="1161"/>
      <c r="AO41" s="1161"/>
      <c r="AP41" s="1162"/>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3"/>
      <c r="C42" s="1123"/>
      <c r="D42" s="1123"/>
      <c r="E42" s="1123"/>
      <c r="F42" s="1123"/>
      <c r="G42" s="1080"/>
      <c r="H42" s="1081"/>
      <c r="I42" s="1081"/>
      <c r="J42" s="1081"/>
      <c r="K42" s="1081"/>
      <c r="L42" s="1081"/>
      <c r="M42" s="1081"/>
      <c r="N42" s="1081"/>
      <c r="O42" s="1081"/>
      <c r="P42" s="1081"/>
      <c r="Q42" s="1081"/>
      <c r="R42" s="1081"/>
      <c r="S42" s="1081"/>
      <c r="T42" s="1082"/>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3" t="s">
        <v>2073</v>
      </c>
      <c r="C44" s="1123"/>
      <c r="D44" s="1123"/>
      <c r="E44" s="1123"/>
      <c r="F44" s="1123"/>
      <c r="G44" s="1076" t="s">
        <v>2375</v>
      </c>
      <c r="H44" s="1077"/>
      <c r="I44" s="1077"/>
      <c r="J44" s="1077"/>
      <c r="K44" s="1077"/>
      <c r="L44" s="1077"/>
      <c r="M44" s="1077"/>
      <c r="N44" s="1077"/>
      <c r="O44" s="1077"/>
      <c r="P44" s="1077"/>
      <c r="Q44" s="1077"/>
      <c r="R44" s="1077"/>
      <c r="S44" s="1077"/>
      <c r="T44" s="1078"/>
      <c r="U44" s="118"/>
      <c r="V44" s="538" t="str">
        <f>IFERROR(IF(OR(G9="特定加算Ⅰ",G9="特定加算Ⅱ"),"✓",""),"")</f>
        <v/>
      </c>
      <c r="W44" s="1053" t="s">
        <v>14</v>
      </c>
      <c r="X44" s="1054"/>
      <c r="Y44" s="1054"/>
      <c r="Z44" s="1055"/>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3"/>
      <c r="C45" s="1123"/>
      <c r="D45" s="1123"/>
      <c r="E45" s="1123"/>
      <c r="F45" s="1123"/>
      <c r="G45" s="1080"/>
      <c r="H45" s="1081"/>
      <c r="I45" s="1081"/>
      <c r="J45" s="1081"/>
      <c r="K45" s="1081"/>
      <c r="L45" s="1081"/>
      <c r="M45" s="1081"/>
      <c r="N45" s="1081"/>
      <c r="O45" s="1081"/>
      <c r="P45" s="1081"/>
      <c r="Q45" s="1081"/>
      <c r="R45" s="1081"/>
      <c r="S45" s="1081"/>
      <c r="T45" s="1082"/>
      <c r="U45" s="118"/>
      <c r="V45" s="538" t="str">
        <f>IFERROR(IF(G9="特定加算なし","✓",""),"")</f>
        <v/>
      </c>
      <c r="W45" s="1053" t="s">
        <v>15</v>
      </c>
      <c r="X45" s="1054"/>
      <c r="Y45" s="1054"/>
      <c r="Z45" s="1055"/>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8" t="s">
        <v>2137</v>
      </c>
      <c r="C47" s="1168"/>
      <c r="D47" s="1168"/>
      <c r="E47" s="1168"/>
      <c r="F47" s="1168"/>
      <c r="G47" s="1168"/>
      <c r="H47" s="1168"/>
      <c r="I47" s="1168"/>
      <c r="J47" s="1168"/>
      <c r="K47" s="1168"/>
      <c r="L47" s="1168"/>
      <c r="M47" s="1168"/>
      <c r="N47" s="1168"/>
      <c r="O47" s="1168"/>
      <c r="P47" s="1168"/>
      <c r="Q47" s="1168"/>
      <c r="R47" s="1168"/>
      <c r="S47" s="1168"/>
      <c r="T47" s="1168"/>
      <c r="U47" s="1168"/>
      <c r="V47" s="1168"/>
      <c r="W47" s="1168"/>
      <c r="X47" s="1168"/>
      <c r="Y47" s="1168"/>
      <c r="Z47" s="1168"/>
      <c r="AA47" s="1168"/>
      <c r="AB47" s="1168"/>
      <c r="AC47" s="1168"/>
      <c r="AD47" s="1168"/>
      <c r="AE47" s="1168"/>
      <c r="AF47" s="1168"/>
      <c r="AG47" s="1168"/>
      <c r="AH47" s="1168"/>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3.05" customHeight="1" thickBot="1">
      <c r="B48" s="1120"/>
      <c r="C48" s="1121"/>
      <c r="D48" s="1121"/>
      <c r="E48" s="1121"/>
      <c r="F48" s="1122"/>
      <c r="G48" s="1109" t="str">
        <f>IF(F15=4,"R6.4～R6.5",IF(F15=5,"R6.5",""))</f>
        <v>R6.4～R6.5</v>
      </c>
      <c r="H48" s="1110"/>
      <c r="I48" s="1110"/>
      <c r="J48" s="1110"/>
      <c r="K48" s="1110"/>
      <c r="L48" s="1110"/>
      <c r="M48" s="1110"/>
      <c r="N48" s="1110"/>
      <c r="O48" s="1110"/>
      <c r="P48" s="1110"/>
      <c r="Q48" s="1110"/>
      <c r="R48" s="1110"/>
      <c r="S48" s="1110"/>
      <c r="T48" s="1110"/>
      <c r="U48" s="1110"/>
      <c r="V48" s="1110"/>
      <c r="W48" s="1110"/>
      <c r="X48" s="1110"/>
      <c r="Y48" s="1110"/>
      <c r="Z48" s="1111"/>
      <c r="AA48" s="1022" t="s">
        <v>12</v>
      </c>
      <c r="AB48" s="1023"/>
      <c r="AC48" s="1187" t="str">
        <f>IF(OR(F15=4,F15=5),"R6.6","R"&amp;D15&amp;"."&amp;F15)&amp;"～R"&amp;K15&amp;"."&amp;M15</f>
        <v>R6.6～R7.3</v>
      </c>
      <c r="AD48" s="1187"/>
      <c r="AE48" s="1187"/>
      <c r="AF48" s="1187"/>
      <c r="AG48" s="1187"/>
      <c r="AH48" s="1187"/>
      <c r="AS48" s="1041" t="str">
        <f>IFERROR(IF(AND(OR(AP58=1,AP58=2),OR(AP59=1,AP59=2),OR(AP60=1,AP60=2)),"処遇加算Ⅰ",IF(AND(OR(AP58=1,AP58=2),OR(AP59=1,AP59=2),OR(AP60=0,AP60=3)),"処遇加算Ⅱ",IF(OR(OR(AP58=1,AP58=2),OR(AP59=1,AP59=2)),"処遇加算Ⅲ",""))),"")</f>
        <v/>
      </c>
      <c r="AT48" s="1041"/>
      <c r="AU48" s="1041"/>
      <c r="AV48" s="1041"/>
      <c r="AW48" s="1041" t="str">
        <f>IFERROR(IF(AND(OR(AP61=1,AP61=2),AP62=1,AP63=1),"特定加算Ⅰ",IF(AND(OR(AP61=1,AP61=2),AP62=2,AP63=1),"特定加算Ⅱ",IF(OR(AP61=3,AP62=2,AP63=2),"特定加算なし",""))),"")</f>
        <v>特定加算なし</v>
      </c>
      <c r="AX48" s="1041"/>
      <c r="AY48" s="1041"/>
      <c r="AZ48" s="1041"/>
      <c r="BA48" s="1041" t="str">
        <f>IFERROR(IF(OR(L9="ベア加算",AP57=1),"ベア加算",IF(AP57=2,"ベア加算なし","")),"")</f>
        <v/>
      </c>
      <c r="BB48" s="1041"/>
      <c r="BC48" s="1041"/>
      <c r="BD48" s="1041"/>
      <c r="BE48" s="1042" t="str">
        <f>AS48&amp;AW48&amp;BA48</f>
        <v>特定加算なし</v>
      </c>
      <c r="BF48" s="1042"/>
      <c r="BG48" s="1042"/>
      <c r="BH48" s="1042"/>
      <c r="BI48" s="1042"/>
      <c r="BJ48" s="1042"/>
      <c r="BK48" s="1042"/>
      <c r="BL48" s="1042"/>
      <c r="BM48" s="1042"/>
      <c r="BN48" s="1042"/>
      <c r="BO48" s="1042"/>
      <c r="BP48" s="1042"/>
      <c r="BQ48" s="141"/>
      <c r="BR48" s="141"/>
      <c r="BS48" s="141"/>
      <c r="BT48" s="141"/>
      <c r="BU48" s="141"/>
      <c r="BV48" s="141"/>
      <c r="BW48" s="141"/>
      <c r="BX48" s="141"/>
      <c r="BY48" s="141"/>
      <c r="BZ48" s="141"/>
      <c r="CD48" s="142"/>
    </row>
    <row r="49" spans="2:86" ht="18" customHeight="1">
      <c r="B49" s="1112" t="s">
        <v>2016</v>
      </c>
      <c r="C49" s="1113"/>
      <c r="D49" s="1113"/>
      <c r="E49" s="1113"/>
      <c r="F49" s="1114"/>
      <c r="G49" s="1188" t="str">
        <f>IFERROR(IF(AND(OR(AH58=1,AH58=2),OR(AH59=1,AH59=2),OR(AH60=1,AH60=2)),"処遇加算Ⅰ",IF(AND(OR(AH58=1,AH58=2),OR(AH59=1,AH59=2),OR(AH60=0,AH60=3)),"処遇加算Ⅱ",IF(OR(OR(AH58=1,AH58=2),OR(AH59=1,AH59=2)),"処遇加算Ⅲ",""))),"")</f>
        <v/>
      </c>
      <c r="H49" s="1164"/>
      <c r="I49" s="1164"/>
      <c r="J49" s="1164"/>
      <c r="K49" s="1189"/>
      <c r="L49" s="1194" t="str">
        <f>IFERROR(IF(G9="","",IF(AND(OR(AH61=1,AH61=2),AH62=1,AH63=1),"特定加算Ⅰ",IF(AND(OR(AH61=1,AH61=2),AH62=2,AH63=1),"特定加算Ⅱ",IF(OR(AH61=3,AH62=2,AH63=2),"特定加算なし","")))),"")</f>
        <v/>
      </c>
      <c r="M49" s="1195"/>
      <c r="N49" s="1195"/>
      <c r="O49" s="1195"/>
      <c r="P49" s="1196"/>
      <c r="Q49" s="1163" t="str">
        <f>IFERROR(IF(OR(L9="ベア加算",AND(L9="ベア加算なし",AH57=1)),"ベア加算",IF(AH57=2,"ベア加算なし","")),"")</f>
        <v/>
      </c>
      <c r="R49" s="1164"/>
      <c r="S49" s="1164"/>
      <c r="T49" s="1164"/>
      <c r="U49" s="1165"/>
      <c r="V49" s="1166" t="s">
        <v>10</v>
      </c>
      <c r="W49" s="1167"/>
      <c r="X49" s="1167"/>
      <c r="Y49" s="1167"/>
      <c r="Z49" s="1167"/>
      <c r="AA49" s="1033"/>
      <c r="AB49" s="1033"/>
      <c r="AC49" s="1173" t="str">
        <f>IFERROR(VLOOKUP(BE48,【参考】数式用2!E6:F23,2,FALSE),"")</f>
        <v/>
      </c>
      <c r="AD49" s="1174"/>
      <c r="AE49" s="1174"/>
      <c r="AF49" s="1174"/>
      <c r="AG49" s="1174"/>
      <c r="AH49" s="1175"/>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2" t="s">
        <v>2017</v>
      </c>
      <c r="C50" s="1113"/>
      <c r="D50" s="1113"/>
      <c r="E50" s="1113"/>
      <c r="F50" s="1114"/>
      <c r="G50" s="1176" t="str">
        <f>IFERROR(VLOOKUP(Y5,【参考】数式用!$A$5:$J$37,MATCH(G49,【参考】数式用!$B$4:$J$4,0)+1,0),"")</f>
        <v/>
      </c>
      <c r="H50" s="1177"/>
      <c r="I50" s="1177"/>
      <c r="J50" s="1177"/>
      <c r="K50" s="1178"/>
      <c r="L50" s="1179" t="str">
        <f>IFERROR(VLOOKUP(Y5,【参考】数式用!$A$5:$J$37,MATCH(L49,【参考】数式用!$B$4:$J$4,0)+1,0),"")</f>
        <v/>
      </c>
      <c r="M50" s="1180"/>
      <c r="N50" s="1180"/>
      <c r="O50" s="1180"/>
      <c r="P50" s="1181"/>
      <c r="Q50" s="1182" t="str">
        <f>IFERROR(VLOOKUP(Y5,【参考】数式用!$A$5:$J$37,MATCH(Q49,【参考】数式用!$B$4:$J$4,0)+1,0),"")</f>
        <v/>
      </c>
      <c r="R50" s="1177"/>
      <c r="S50" s="1177"/>
      <c r="T50" s="1177"/>
      <c r="U50" s="1183"/>
      <c r="V50" s="1145">
        <f>SUM(G50,L50,Q50)</f>
        <v>0</v>
      </c>
      <c r="W50" s="1146"/>
      <c r="X50" s="1146"/>
      <c r="Y50" s="1146"/>
      <c r="Z50" s="1146"/>
      <c r="AA50" s="1033"/>
      <c r="AB50" s="1033"/>
      <c r="AC50" s="1184" t="str">
        <f>IFERROR(VLOOKUP(Y5,【参考】数式用!$A$5:$AB$37,MATCH(AC49,【参考】数式用!$B$4:$AB$4,0)+1,FALSE),"")</f>
        <v/>
      </c>
      <c r="AD50" s="1185"/>
      <c r="AE50" s="1185"/>
      <c r="AF50" s="1185"/>
      <c r="AG50" s="1185"/>
      <c r="AH50" s="1186"/>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7" t="s">
        <v>2054</v>
      </c>
      <c r="BW50" s="1198"/>
      <c r="BX50" s="1198"/>
      <c r="BY50" s="1198"/>
      <c r="BZ50" s="1198"/>
      <c r="CA50" s="1199"/>
      <c r="CD50" s="142"/>
    </row>
    <row r="51" spans="2:86" ht="17.25" customHeight="1">
      <c r="B51" s="1170" t="s">
        <v>2121</v>
      </c>
      <c r="C51" s="1171"/>
      <c r="D51" s="1171"/>
      <c r="E51" s="1171"/>
      <c r="F51" s="1172"/>
      <c r="G51" s="1092" t="str">
        <f>IFERROR(ROUNDDOWN(ROUND(AM5*G50,0),0)*H53,"")</f>
        <v/>
      </c>
      <c r="H51" s="1092"/>
      <c r="I51" s="1092"/>
      <c r="J51" s="1092"/>
      <c r="K51" s="55" t="s">
        <v>2117</v>
      </c>
      <c r="L51" s="1089" t="str">
        <f>IFERROR(ROUNDDOWN(ROUND(AM5*L50,0),0)*H53,"")</f>
        <v/>
      </c>
      <c r="M51" s="1090"/>
      <c r="N51" s="1090"/>
      <c r="O51" s="1090"/>
      <c r="P51" s="55" t="s">
        <v>2117</v>
      </c>
      <c r="Q51" s="1091" t="str">
        <f>IFERROR(ROUNDDOWN(ROUND(AM5*Q50,0),0)*H53,"")</f>
        <v/>
      </c>
      <c r="R51" s="1092"/>
      <c r="S51" s="1092"/>
      <c r="T51" s="1092"/>
      <c r="U51" s="56" t="s">
        <v>2117</v>
      </c>
      <c r="V51" s="1192">
        <f>IFERROR(SUM(G51,L51,Q51),"")</f>
        <v>0</v>
      </c>
      <c r="W51" s="1193"/>
      <c r="X51" s="1193"/>
      <c r="Y51" s="1193"/>
      <c r="Z51" s="57" t="s">
        <v>2117</v>
      </c>
      <c r="AB51" s="58"/>
      <c r="AC51" s="1091" t="str">
        <f>IFERROR(ROUNDDOWN(ROUND(AM5*AC50,0),0)*AD53,"")</f>
        <v/>
      </c>
      <c r="AD51" s="1092"/>
      <c r="AE51" s="1092"/>
      <c r="AF51" s="1092"/>
      <c r="AG51" s="1092"/>
      <c r="AH51" s="56" t="s">
        <v>2117</v>
      </c>
      <c r="AS51" s="1043" t="str">
        <f>IFERROR(ROUNDDOWN(ROUND(AM5*(G50-B10),0),0)*H53,"")</f>
        <v/>
      </c>
      <c r="AT51" s="1043"/>
      <c r="AU51" s="1043"/>
      <c r="AV51" s="1043"/>
      <c r="AW51" s="1043" t="str">
        <f>IFERROR(ROUNDDOWN(ROUND(AM5*(L50-G10),0),0)*H53,"")</f>
        <v/>
      </c>
      <c r="AX51" s="1043"/>
      <c r="AY51" s="1043"/>
      <c r="AZ51" s="1043"/>
      <c r="BA51" s="1043" t="str">
        <f>IFERROR(ROUNDDOWN(ROUND(AM5*(Q50-L10),0),0)*H53,"")</f>
        <v/>
      </c>
      <c r="BB51" s="1043"/>
      <c r="BC51" s="1043"/>
      <c r="BD51" s="1043"/>
      <c r="BE51" s="1043" t="str">
        <f>IFERROR(ROUNDDOWN(ROUND(AM5*(AC50-Q10),0),0)*AD53,"")</f>
        <v/>
      </c>
      <c r="BF51" s="1043"/>
      <c r="BG51" s="1043"/>
      <c r="BH51" s="1043"/>
      <c r="BI51" s="1043">
        <f>SUM(AS51:BH51)</f>
        <v>0</v>
      </c>
      <c r="BJ51" s="1043"/>
      <c r="BK51" s="1043"/>
      <c r="BL51" s="1043"/>
      <c r="BM51" s="141"/>
      <c r="BN51" s="1043" t="str">
        <f>IFERROR(ROUNDDOWN(ROUNDDOWN(ROUND(AM5*(VLOOKUP(Y5,【参考】数式用!$A$5:$AB$37,14,FALSE)),0),0)*AD53*0.5,0),"")</f>
        <v/>
      </c>
      <c r="BO51" s="1043"/>
      <c r="BP51" s="1043"/>
      <c r="BQ51" s="1043"/>
      <c r="BR51" s="1043"/>
      <c r="BS51" s="1043"/>
      <c r="BT51" s="141"/>
      <c r="BV51" s="1200">
        <f>IF(AND(Q49="ベア加算なし",BA48="ベア加算"),ROUNDDOWN(ROUND(AM5*VLOOKUP(Y5,【参考】数式用!$A$5:$AB$37,9,FALSE),0),0)*AD53,0)</f>
        <v>0</v>
      </c>
      <c r="BW51" s="1201"/>
      <c r="BX51" s="1201"/>
      <c r="BY51" s="1201"/>
      <c r="BZ51" s="1201"/>
      <c r="CA51" s="1202"/>
      <c r="CD51" s="142"/>
    </row>
    <row r="52" spans="2:86" ht="13.5" customHeight="1">
      <c r="B52" s="1170"/>
      <c r="C52" s="1171"/>
      <c r="D52" s="1171"/>
      <c r="E52" s="1171"/>
      <c r="F52" s="1172"/>
      <c r="G52" s="1087" t="str">
        <f>IFERROR("("&amp;TEXT(G51/H53,"#,##0円")&amp;"/月)","")</f>
        <v/>
      </c>
      <c r="H52" s="1088"/>
      <c r="I52" s="1088"/>
      <c r="J52" s="1088"/>
      <c r="K52" s="1088"/>
      <c r="L52" s="1190" t="str">
        <f>IFERROR("("&amp;TEXT(L51/H53,"#,##0円")&amp;"/月)","")</f>
        <v/>
      </c>
      <c r="M52" s="1191"/>
      <c r="N52" s="1191"/>
      <c r="O52" s="1191"/>
      <c r="P52" s="1087"/>
      <c r="Q52" s="1088" t="str">
        <f>IFERROR("("&amp;TEXT(Q51/H53,"#,##0円")&amp;"/月)","")</f>
        <v/>
      </c>
      <c r="R52" s="1088"/>
      <c r="S52" s="1088"/>
      <c r="T52" s="1088"/>
      <c r="U52" s="1088"/>
      <c r="V52" s="1088" t="str">
        <f>IFERROR("("&amp;TEXT(V51/H53,"#,##0円")&amp;"/月)","")</f>
        <v>(0円/月)</v>
      </c>
      <c r="W52" s="1088"/>
      <c r="X52" s="1088"/>
      <c r="Y52" s="1088"/>
      <c r="Z52" s="1088"/>
      <c r="AB52" s="58"/>
      <c r="AC52" s="1190" t="str">
        <f>IFERROR("("&amp;TEXT(AC51/AD53,"#,##0円")&amp;"/月)","")</f>
        <v/>
      </c>
      <c r="AD52" s="1191"/>
      <c r="AE52" s="1191"/>
      <c r="AF52" s="1191"/>
      <c r="AG52" s="1191"/>
      <c r="AH52" s="1087"/>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2" t="s">
        <v>2376</v>
      </c>
      <c r="V56" s="1042"/>
      <c r="W56" s="1042"/>
      <c r="X56" s="1042"/>
      <c r="Y56" s="1042"/>
      <c r="Z56" s="1042"/>
      <c r="AA56" s="145"/>
      <c r="AB56" s="149"/>
      <c r="AC56" s="1042" t="str">
        <f>IF(F15=4,"R6.4～R6.5",IF(F15=5,"R6.5",""))</f>
        <v>R6.4～R6.5</v>
      </c>
      <c r="AD56" s="1042"/>
      <c r="AE56" s="1042"/>
      <c r="AF56" s="1042"/>
      <c r="AG56" s="1042"/>
      <c r="AH56" s="1042"/>
      <c r="AI56" s="150"/>
      <c r="AJ56" s="149"/>
      <c r="AK56" s="1042" t="str">
        <f>IF(OR(F15=4,F15=5),"R6.6","R"&amp;D15&amp;"."&amp;F15)&amp;"～R"&amp;K15&amp;"."&amp;M15</f>
        <v>R6.6～R7.3</v>
      </c>
      <c r="AL56" s="1042"/>
      <c r="AM56" s="1042"/>
      <c r="AN56" s="1042"/>
      <c r="AO56" s="1042"/>
      <c r="AP56" s="1042"/>
      <c r="AQ56" s="145"/>
      <c r="AR56" s="145"/>
      <c r="AS56" s="1051" t="s">
        <v>2203</v>
      </c>
      <c r="AT56" s="1051"/>
      <c r="AU56" s="1051"/>
      <c r="AV56" s="1051"/>
      <c r="AW56" s="1051" t="s">
        <v>2202</v>
      </c>
      <c r="AX56" s="1051"/>
      <c r="AY56" s="1051"/>
      <c r="AZ56" s="1051"/>
    </row>
    <row r="57" spans="2:86" ht="16.05"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4"/>
      <c r="AX57" s="1044"/>
      <c r="AY57" s="1044"/>
      <c r="AZ57" s="1044"/>
      <c r="BP57" s="151"/>
      <c r="BR57" s="151"/>
      <c r="BS57" s="151"/>
      <c r="BT57" s="151"/>
      <c r="BU57" s="151"/>
      <c r="BV57" s="151"/>
      <c r="BW57" s="151"/>
      <c r="BX57" s="151"/>
      <c r="BY57" s="151"/>
      <c r="BZ57" s="151"/>
      <c r="CA57" s="151"/>
      <c r="CB57" s="151"/>
      <c r="CC57" s="151"/>
      <c r="CD57" s="151"/>
      <c r="CE57" s="151"/>
      <c r="CF57" s="151"/>
      <c r="CH57" s="154"/>
    </row>
    <row r="58" spans="2:86" ht="16.05" customHeight="1">
      <c r="U58" s="1046" t="s">
        <v>2378</v>
      </c>
      <c r="V58" s="1046"/>
      <c r="W58" s="1046"/>
      <c r="X58" s="1046"/>
      <c r="Y58" s="1046"/>
      <c r="Z58" s="534" t="str">
        <f>IF(AND(B9&lt;&gt;"処遇加算なし",F15=4),IF(V24="✓",1,IF(V25="✓",2,IF(V26="✓",3,""))),"")</f>
        <v/>
      </c>
      <c r="AA58" s="145"/>
      <c r="AB58" s="149"/>
      <c r="AC58" s="1046" t="s">
        <v>2378</v>
      </c>
      <c r="AD58" s="1046"/>
      <c r="AE58" s="1046"/>
      <c r="AF58" s="1046"/>
      <c r="AG58" s="1046"/>
      <c r="AH58" s="425">
        <f>IF(AND(F15&lt;&gt;4,F15&lt;&gt;5),0,IF(AU8="○",1,3))</f>
        <v>3</v>
      </c>
      <c r="AI58" s="153"/>
      <c r="AJ58" s="149"/>
      <c r="AK58" s="1046" t="s">
        <v>2378</v>
      </c>
      <c r="AL58" s="1046"/>
      <c r="AM58" s="1046"/>
      <c r="AN58" s="1046"/>
      <c r="AO58" s="1046"/>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6.05" customHeight="1">
      <c r="U59" s="1046" t="s">
        <v>2379</v>
      </c>
      <c r="V59" s="1046"/>
      <c r="W59" s="1046"/>
      <c r="X59" s="1046"/>
      <c r="Y59" s="1046"/>
      <c r="Z59" s="534" t="str">
        <f>IF(AND(B9&lt;&gt;"処遇加算なし",F15=4),IF(V28="✓",1,IF(V29="✓",2,IF(V30="✓",3,""))),"")</f>
        <v/>
      </c>
      <c r="AA59" s="145"/>
      <c r="AB59" s="149"/>
      <c r="AC59" s="1046" t="s">
        <v>2379</v>
      </c>
      <c r="AD59" s="1046"/>
      <c r="AE59" s="1046"/>
      <c r="AF59" s="1046"/>
      <c r="AG59" s="1046"/>
      <c r="AH59" s="425">
        <f>IF(AND(F15&lt;&gt;4,F15&lt;&gt;5),0,IF(AV8="○",1,3))</f>
        <v>3</v>
      </c>
      <c r="AI59" s="153"/>
      <c r="AJ59" s="149"/>
      <c r="AK59" s="1046" t="s">
        <v>2379</v>
      </c>
      <c r="AL59" s="1046"/>
      <c r="AM59" s="1046"/>
      <c r="AN59" s="1046"/>
      <c r="AO59" s="1046"/>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6.05" customHeight="1">
      <c r="U60" s="1046" t="s">
        <v>2380</v>
      </c>
      <c r="V60" s="1046"/>
      <c r="W60" s="1046"/>
      <c r="X60" s="1046"/>
      <c r="Y60" s="1046"/>
      <c r="Z60" s="534" t="str">
        <f>IF(AND(B9&lt;&gt;"処遇加算なし",F15=4),IF(V32="✓",1,IF(V33="✓",2,"")),"")</f>
        <v/>
      </c>
      <c r="AA60" s="145"/>
      <c r="AB60" s="149"/>
      <c r="AC60" s="1046" t="s">
        <v>2380</v>
      </c>
      <c r="AD60" s="1046"/>
      <c r="AE60" s="1046"/>
      <c r="AF60" s="1046"/>
      <c r="AG60" s="1046"/>
      <c r="AH60" s="425">
        <f>IF(AND(F15&lt;&gt;4,F15&lt;&gt;5),0,IF(AW8="○",1,3))</f>
        <v>3</v>
      </c>
      <c r="AI60" s="153"/>
      <c r="AJ60" s="149"/>
      <c r="AK60" s="1046" t="s">
        <v>2380</v>
      </c>
      <c r="AL60" s="1046"/>
      <c r="AM60" s="1046"/>
      <c r="AN60" s="1046"/>
      <c r="AO60" s="1046"/>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6.05" customHeight="1">
      <c r="U61" s="1046" t="s">
        <v>2381</v>
      </c>
      <c r="V61" s="1046"/>
      <c r="W61" s="1046"/>
      <c r="X61" s="1046"/>
      <c r="Y61" s="1046"/>
      <c r="Z61" s="534" t="str">
        <f>IF(AND(B9&lt;&gt;"処遇加算なし",F15=4),IF(V36="✓",1,IF(V37="✓",2,"")),"")</f>
        <v/>
      </c>
      <c r="AA61" s="145"/>
      <c r="AB61" s="149"/>
      <c r="AC61" s="1046" t="s">
        <v>2381</v>
      </c>
      <c r="AD61" s="1046"/>
      <c r="AE61" s="1046"/>
      <c r="AF61" s="1046"/>
      <c r="AG61" s="1046"/>
      <c r="AH61" s="425">
        <f>IF(AND(F15&lt;&gt;4,F15&lt;&gt;5),0,IF(AX8="○",1,2))</f>
        <v>2</v>
      </c>
      <c r="AI61" s="153"/>
      <c r="AJ61" s="149"/>
      <c r="AK61" s="1046" t="s">
        <v>2381</v>
      </c>
      <c r="AL61" s="1046"/>
      <c r="AM61" s="1046"/>
      <c r="AN61" s="1046"/>
      <c r="AO61" s="1046"/>
      <c r="AP61" s="425">
        <f>IF(AX8="○",1,2)</f>
        <v>2</v>
      </c>
      <c r="AQ61" s="145"/>
      <c r="AR61" s="145"/>
      <c r="AS61" s="1039" t="str">
        <f>IF(OR(AND(Z61=1,AH61=2),AND(Z61=1,AP61=2)),"○","")</f>
        <v/>
      </c>
      <c r="AT61" s="1039"/>
      <c r="AU61" s="1039"/>
      <c r="AV61" s="1039"/>
      <c r="AW61" s="1045" t="str">
        <f>IF(OR((AD61-AL61)&lt;0,(AD61-AT61)&lt;0),"!","")</f>
        <v/>
      </c>
      <c r="AX61" s="1045"/>
      <c r="AY61" s="1045"/>
      <c r="AZ61" s="1045"/>
      <c r="BP61" s="151"/>
      <c r="BR61" s="151"/>
      <c r="BS61" s="151"/>
      <c r="BT61" s="151"/>
      <c r="BU61" s="151"/>
      <c r="BV61" s="151"/>
      <c r="BW61" s="151"/>
      <c r="BX61" s="151"/>
      <c r="BY61" s="151"/>
      <c r="BZ61" s="151"/>
      <c r="CA61" s="151"/>
      <c r="CB61" s="151"/>
      <c r="CC61" s="151"/>
      <c r="CD61" s="151"/>
      <c r="CE61" s="151"/>
      <c r="CF61" s="151"/>
      <c r="CH61" s="154"/>
    </row>
    <row r="62" spans="2:86" ht="16.05" customHeight="1">
      <c r="U62" s="1046" t="s">
        <v>2382</v>
      </c>
      <c r="V62" s="1046"/>
      <c r="W62" s="1046"/>
      <c r="X62" s="1046"/>
      <c r="Y62" s="1046"/>
      <c r="Z62" s="534" t="str">
        <f>IF(AND(B9&lt;&gt;"処遇加算なし",F15=4),IF(V40="✓",1,IF(V41="✓",2,"")),"")</f>
        <v/>
      </c>
      <c r="AA62" s="145"/>
      <c r="AB62" s="149"/>
      <c r="AC62" s="1046" t="s">
        <v>2382</v>
      </c>
      <c r="AD62" s="1046"/>
      <c r="AE62" s="1046"/>
      <c r="AF62" s="1046"/>
      <c r="AG62" s="1046"/>
      <c r="AH62" s="425">
        <f>IF(AND(F15&lt;&gt;4,F15&lt;&gt;5),0,IF(AY8="○",1,2))</f>
        <v>2</v>
      </c>
      <c r="AI62" s="153"/>
      <c r="AJ62" s="149"/>
      <c r="AK62" s="1046" t="s">
        <v>2382</v>
      </c>
      <c r="AL62" s="1046"/>
      <c r="AM62" s="1046"/>
      <c r="AN62" s="1046"/>
      <c r="AO62" s="1046"/>
      <c r="AP62" s="425">
        <f>IF(AY8="○",1,2)</f>
        <v>2</v>
      </c>
      <c r="AQ62" s="145"/>
      <c r="AR62" s="145"/>
      <c r="AS62" s="1039" t="str">
        <f>IF(OR(AND(Z62=1,AH62=2),AND(Z62=1,AP62=2)),"○","")</f>
        <v/>
      </c>
      <c r="AT62" s="1039"/>
      <c r="AU62" s="1039"/>
      <c r="AV62" s="1039"/>
      <c r="AW62" s="1045" t="str">
        <f>IF(OR((AD62-AL62)&lt;0,(AD62-AT62)&lt;0),"!","")</f>
        <v/>
      </c>
      <c r="AX62" s="1045"/>
      <c r="AY62" s="1045"/>
      <c r="AZ62" s="1045"/>
      <c r="BP62" s="151"/>
      <c r="BR62" s="151"/>
      <c r="BS62" s="151"/>
      <c r="BT62" s="151"/>
      <c r="BU62" s="151"/>
      <c r="BV62" s="151"/>
      <c r="BW62" s="151"/>
      <c r="BX62" s="151"/>
      <c r="BY62" s="151"/>
      <c r="BZ62" s="151"/>
      <c r="CA62" s="151"/>
      <c r="CB62" s="151"/>
      <c r="CC62" s="151"/>
      <c r="CD62" s="151"/>
      <c r="CE62" s="151"/>
      <c r="CF62" s="151"/>
      <c r="CH62" s="154"/>
    </row>
    <row r="63" spans="2:86" ht="16.05"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5" t="str">
        <f>IF(OR((AD63-AL63)&lt;0,(AD63-AT63)&lt;0),"!","")</f>
        <v/>
      </c>
      <c r="AX63" s="1045"/>
      <c r="AY63" s="1045"/>
      <c r="AZ63" s="1045"/>
      <c r="BP63" s="151"/>
      <c r="BR63" s="151"/>
      <c r="BS63" s="151"/>
      <c r="BT63" s="151"/>
      <c r="BU63" s="151"/>
      <c r="BV63" s="151"/>
      <c r="BW63" s="151"/>
      <c r="BX63" s="151"/>
      <c r="BY63" s="151"/>
      <c r="BZ63" s="151"/>
      <c r="CA63" s="151"/>
      <c r="CB63" s="151"/>
      <c r="CC63" s="151"/>
      <c r="CD63" s="151"/>
      <c r="CE63" s="151"/>
      <c r="CF63" s="151"/>
      <c r="CH63" s="154"/>
    </row>
    <row r="64" spans="2:86" ht="16.05" customHeight="1">
      <c r="BP64" s="97"/>
      <c r="BQ64" s="97"/>
      <c r="BR64" s="97"/>
      <c r="BS64" s="97"/>
      <c r="BT64" s="97"/>
      <c r="BU64" s="97"/>
      <c r="BV64" s="97"/>
      <c r="BW64" s="97"/>
      <c r="BX64" s="97"/>
      <c r="BY64" s="97"/>
      <c r="BZ64" s="97"/>
      <c r="CA64" s="97"/>
      <c r="CB64" s="97"/>
      <c r="CC64" s="97"/>
      <c r="CD64" s="97"/>
      <c r="CE64" s="97"/>
      <c r="CF64" s="97"/>
    </row>
    <row r="65" spans="20:71" ht="16.05" customHeight="1">
      <c r="BS65" s="97"/>
    </row>
    <row r="66" spans="20:71" ht="16.05" customHeight="1"/>
    <row r="67" spans="20:71" ht="16.05" customHeight="1">
      <c r="T67" s="71">
        <f>SUM(事業所個票８!BU51)</f>
        <v>0</v>
      </c>
    </row>
    <row r="68" spans="20:71" ht="16.05" customHeight="1"/>
    <row r="69" spans="20:71" ht="16.05" customHeight="1"/>
    <row r="70" spans="20:71" ht="16.05" customHeight="1"/>
    <row r="71" spans="20:71" ht="16.05" customHeight="1"/>
    <row r="72" spans="20:71" ht="16.05" customHeight="1"/>
    <row r="73" spans="20:71" ht="16.0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00000000-0002-0000-0800-000000000000}">
      <formula1>0</formula1>
    </dataValidation>
    <dataValidation type="list" allowBlank="1" showInputMessage="1" showErrorMessage="1" sqref="AL41:AP41" xr:uid="{00000000-0002-0000-0800-000001000000}">
      <formula1>INDIRECT(BF1)</formula1>
    </dataValidation>
    <dataValidation type="list" allowBlank="1" showInputMessage="1" showErrorMessage="1" sqref="AD41:AH41" xr:uid="{00000000-0002-0000-0800-000002000000}">
      <formula1>INDIRECT(BF1)</formula1>
    </dataValidation>
    <dataValidation type="textLength" operator="equal" allowBlank="1" showInputMessage="1" showErrorMessage="1" error="10桁の介護保険事業所番号を入力してください。_x000a_（桁数が異なるとエラーになります）" sqref="B5:F5" xr:uid="{00000000-0002-0000-0800-000003000000}">
      <formula1>10</formula1>
    </dataValidation>
    <dataValidation type="list" allowBlank="1" showInputMessage="1" showErrorMessage="1" sqref="K15:K16 D15:D16" xr:uid="{00000000-0002-0000-0800-000004000000}">
      <formula1>"6,7"</formula1>
    </dataValidation>
    <dataValidation type="list" allowBlank="1" showInputMessage="1" showErrorMessage="1" sqref="M15:M16" xr:uid="{00000000-0002-0000-0800-000005000000}">
      <formula1>"1,2,3,6,7,8,9,10,11,12"</formula1>
    </dataValidation>
    <dataValidation type="list" allowBlank="1" showInputMessage="1" showErrorMessage="1" sqref="M5:O5" xr:uid="{00000000-0002-0000-0800-000006000000}">
      <formula1>INDIRECT(J5)</formula1>
    </dataValidation>
    <dataValidation type="list" allowBlank="1" showInputMessage="1" showErrorMessage="1" sqref="Y5:AD5" xr:uid="{00000000-0002-0000-0800-000007000000}">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121920</xdr:colOff>
                    <xdr:row>23</xdr:row>
                    <xdr:rowOff>7620</xdr:rowOff>
                  </from>
                  <to>
                    <xdr:col>29</xdr:col>
                    <xdr:colOff>106680</xdr:colOff>
                    <xdr:row>24</xdr:row>
                    <xdr:rowOff>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121920</xdr:colOff>
                    <xdr:row>24</xdr:row>
                    <xdr:rowOff>266700</xdr:rowOff>
                  </from>
                  <to>
                    <xdr:col>29</xdr:col>
                    <xdr:colOff>106680</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129540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129540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99060</xdr:colOff>
                    <xdr:row>20</xdr:row>
                    <xdr:rowOff>15240</xdr:rowOff>
                  </from>
                  <to>
                    <xdr:col>29</xdr:col>
                    <xdr:colOff>76200</xdr:colOff>
                    <xdr:row>22</xdr:row>
                    <xdr:rowOff>99060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30480</xdr:colOff>
                    <xdr:row>22</xdr:row>
                    <xdr:rowOff>137160</xdr:rowOff>
                  </from>
                  <to>
                    <xdr:col>30</xdr:col>
                    <xdr:colOff>53340</xdr:colOff>
                    <xdr:row>27</xdr:row>
                    <xdr:rowOff>30480</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15240</xdr:colOff>
                    <xdr:row>26</xdr:row>
                    <xdr:rowOff>106680</xdr:rowOff>
                  </from>
                  <to>
                    <xdr:col>30</xdr:col>
                    <xdr:colOff>53340</xdr:colOff>
                    <xdr:row>30</xdr:row>
                    <xdr:rowOff>137160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15240</xdr:colOff>
                    <xdr:row>30</xdr:row>
                    <xdr:rowOff>129540</xdr:rowOff>
                  </from>
                  <to>
                    <xdr:col>30</xdr:col>
                    <xdr:colOff>53340</xdr:colOff>
                    <xdr:row>34</xdr:row>
                    <xdr:rowOff>53340</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137160</xdr:colOff>
                    <xdr:row>34</xdr:row>
                    <xdr:rowOff>38100</xdr:rowOff>
                  </from>
                  <to>
                    <xdr:col>30</xdr:col>
                    <xdr:colOff>167640</xdr:colOff>
                    <xdr:row>38</xdr:row>
                    <xdr:rowOff>99060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91440</xdr:rowOff>
                  </from>
                  <to>
                    <xdr:col>29</xdr:col>
                    <xdr:colOff>144780</xdr:colOff>
                    <xdr:row>46</xdr:row>
                    <xdr:rowOff>22860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15240</xdr:colOff>
                    <xdr:row>30</xdr:row>
                    <xdr:rowOff>114300</xdr:rowOff>
                  </from>
                  <to>
                    <xdr:col>39</xdr:col>
                    <xdr:colOff>38100</xdr:colOff>
                    <xdr:row>34</xdr:row>
                    <xdr:rowOff>15240</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22860</xdr:colOff>
                    <xdr:row>38</xdr:row>
                    <xdr:rowOff>106680</xdr:rowOff>
                  </from>
                  <to>
                    <xdr:col>38</xdr:col>
                    <xdr:colOff>152400</xdr:colOff>
                    <xdr:row>41</xdr:row>
                    <xdr:rowOff>205740</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53340</xdr:colOff>
                    <xdr:row>43</xdr:row>
                    <xdr:rowOff>0</xdr:rowOff>
                  </from>
                  <to>
                    <xdr:col>38</xdr:col>
                    <xdr:colOff>53340</xdr:colOff>
                    <xdr:row>46</xdr:row>
                    <xdr:rowOff>129540</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30480</xdr:colOff>
                    <xdr:row>20</xdr:row>
                    <xdr:rowOff>0</xdr:rowOff>
                  </from>
                  <to>
                    <xdr:col>30</xdr:col>
                    <xdr:colOff>38100</xdr:colOff>
                    <xdr:row>23</xdr:row>
                    <xdr:rowOff>91440</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53340</xdr:colOff>
                    <xdr:row>20</xdr:row>
                    <xdr:rowOff>0</xdr:rowOff>
                  </from>
                  <to>
                    <xdr:col>38</xdr:col>
                    <xdr:colOff>60960</xdr:colOff>
                    <xdr:row>23</xdr:row>
                    <xdr:rowOff>91440</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60960</xdr:colOff>
                    <xdr:row>22</xdr:row>
                    <xdr:rowOff>99060</xdr:rowOff>
                  </from>
                  <to>
                    <xdr:col>38</xdr:col>
                    <xdr:colOff>53340</xdr:colOff>
                    <xdr:row>27</xdr:row>
                    <xdr:rowOff>53340</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800-000008000000}">
          <x14:formula1>
            <xm:f>【参考】数式用!$B$4:$E$4</xm:f>
          </x14:formula1>
          <xm:sqref>B9:F9</xm:sqref>
        </x14:dataValidation>
        <x14:dataValidation type="list" allowBlank="1" showInputMessage="1" showErrorMessage="1" xr:uid="{00000000-0002-0000-0800-000009000000}">
          <x14:formula1>
            <xm:f>【参考】数式用!$F$4:$H$4</xm:f>
          </x14:formula1>
          <xm:sqref>G9</xm:sqref>
        </x14:dataValidation>
        <x14:dataValidation type="list" allowBlank="1" showInputMessage="1" showErrorMessage="1" xr:uid="{00000000-0002-0000-0800-00000A000000}">
          <x14:formula1>
            <xm:f>【参考】数式用!$I$4:$J$4</xm:f>
          </x14:formula1>
          <xm:sqref>L9</xm:sqref>
        </x14:dataValidation>
        <x14:dataValidation type="list" allowBlank="1" showInputMessage="1" showErrorMessage="1" xr:uid="{00000000-0002-0000-0800-00000B00000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友田　純子（障害福祉課）</dc:creator>
  <cp:lastModifiedBy>大西　雄太朗（障害福祉課）</cp:lastModifiedBy>
  <cp:lastPrinted>2024-03-18T06:59:04Z</cp:lastPrinted>
  <dcterms:created xsi:type="dcterms:W3CDTF">2015-06-05T18:19:34Z</dcterms:created>
  <dcterms:modified xsi:type="dcterms:W3CDTF">2024-06-05T00:05:02Z</dcterms:modified>
</cp:coreProperties>
</file>